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X:\Quality Management\DOE-BT-Appliance - Tools and Templates\CCE\Test Report Templates\CURRENT VERSIONS\"/>
    </mc:Choice>
  </mc:AlternateContent>
  <xr:revisionPtr revIDLastSave="0" documentId="13_ncr:1_{BF49A75E-FDC3-4F25-8549-B320C8193264}" xr6:coauthVersionLast="41" xr6:coauthVersionMax="41" xr10:uidLastSave="{00000000-0000-0000-0000-000000000000}"/>
  <workbookProtection workbookAlgorithmName="SHA-512" workbookHashValue="UST5n8xZ8H901CBDeMIdPzfAB3tWEE7x8xnE5YmU1v15ibufzeAaz3zxZdkI5nzIcTSMmVz7WYCS/6uSCrqMbg==" workbookSaltValue="XmQcoUeiTd+jBUuLjOopJw==" workbookSpinCount="100000" lockStructure="1"/>
  <bookViews>
    <workbookView xWindow="90" yWindow="-16320" windowWidth="29040" windowHeight="15840" tabRatio="906" xr2:uid="{00000000-000D-0000-FFFF-FFFF00000000}"/>
  </bookViews>
  <sheets>
    <sheet name="Instructions" sheetId="24" r:id="rId1"/>
    <sheet name="General Info &amp; Test Results" sheetId="30" r:id="rId2"/>
    <sheet name="Instrumentation" sheetId="31" r:id="rId3"/>
    <sheet name="Test Conditions" sheetId="32" r:id="rId4"/>
    <sheet name="Jacket Loss" sheetId="40" r:id="rId5"/>
    <sheet name="Max Test" sheetId="21" r:id="rId6"/>
    <sheet name="Reduced Test" sheetId="39" r:id="rId7"/>
    <sheet name="Calculations" sheetId="11" r:id="rId8"/>
    <sheet name="Photos" sheetId="35" r:id="rId9"/>
    <sheet name="Comments" sheetId="36" r:id="rId10"/>
    <sheet name="Report Sign-Off Block" sheetId="29" r:id="rId11"/>
    <sheet name="Drop-Downs and Tables" sheetId="15" r:id="rId12"/>
    <sheet name="Version Control" sheetId="25" r:id="rId13"/>
  </sheets>
  <externalReferences>
    <externalReference r:id="rId14"/>
  </externalReferences>
  <definedNames>
    <definedName name="_xlnm._FilterDatabase" localSheetId="1" hidden="1">'General Info &amp; Test Results'!$B$34:$D$51</definedName>
    <definedName name="Burner_Type">'Drop-Downs and Tables'!$B$39:$B$41</definedName>
    <definedName name="Circulation">'Drop-Downs and Tables'!$B$24:$B$25</definedName>
    <definedName name="Draft_Equipment">'Drop-Downs and Tables'!$B$59:$B$60</definedName>
    <definedName name="Energy_Source">'Drop-Downs and Tables'!$B$29:$B$30</definedName>
    <definedName name="GasType">'Drop-Downs and Tables'!$B$101:$B$105</definedName>
    <definedName name="h_rs">'Jacket Loss'!$J$20</definedName>
    <definedName name="hc_bottom">'Jacket Loss'!$J$16</definedName>
    <definedName name="hc_side">'Jacket Loss'!$J$17</definedName>
    <definedName name="hc_top">'Jacket Loss'!$J$14</definedName>
    <definedName name="HupCdownPerformed" localSheetId="6">'Reduced Test'!$C$250</definedName>
    <definedName name="HupCdownPerformed">'Max Test'!$C$250</definedName>
    <definedName name="Ignition">'Drop-Downs and Tables'!$D$74:$D$75</definedName>
    <definedName name="Installation">'Drop-Downs and Tables'!$B$74:$B$75</definedName>
    <definedName name="Jacket_Loss">'Drop-Downs and Tables'!$B$87:$B$89</definedName>
    <definedName name="Off_Cycle_Devices">'Drop-Downs and Tables'!$B$67:$B$68</definedName>
    <definedName name="Q_in_max">'[1]Steady-State &amp; Cool-Down Tests'!$G$25</definedName>
    <definedName name="Reduced_Test_Required">'General Info &amp; Test Results'!$C$51</definedName>
    <definedName name="TFSSH" localSheetId="6">'Reduced Test'!$C$67</definedName>
    <definedName name="TFSSH">'Max Test'!$C$67</definedName>
    <definedName name="TFSSR">#REF!</definedName>
    <definedName name="TRAH" localSheetId="6">'Reduced Test'!$C$66</definedName>
    <definedName name="TRAH">'Max Test'!$C$66</definedName>
    <definedName name="TRAR">#REF!</definedName>
    <definedName name="Unit_Type">'[1]General Info &amp; Test Results'!$C$34</definedName>
  </definedNames>
  <calcPr calcId="191029" calcMode="autoNoTable"/>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N19" i="31" l="1"/>
  <c r="L158" i="15"/>
  <c r="D375" i="11"/>
  <c r="C375" i="11"/>
  <c r="C70" i="21" l="1"/>
  <c r="C69" i="21"/>
  <c r="C68" i="21"/>
  <c r="C67" i="21"/>
  <c r="C66" i="21"/>
  <c r="C90" i="32" l="1"/>
  <c r="C91" i="32" s="1"/>
  <c r="C253" i="11" s="1"/>
  <c r="C240" i="11"/>
  <c r="E67" i="32"/>
  <c r="C23" i="21"/>
  <c r="B48" i="39" l="1"/>
  <c r="B48" i="21"/>
  <c r="B40" i="39"/>
  <c r="B152" i="39"/>
  <c r="B40" i="21"/>
  <c r="B147" i="39"/>
  <c r="B34" i="39"/>
  <c r="B34" i="21"/>
  <c r="B152" i="21"/>
  <c r="B147" i="21"/>
  <c r="B11" i="21"/>
  <c r="D45" i="40" l="1"/>
  <c r="D44" i="40"/>
  <c r="D32" i="40"/>
  <c r="D37" i="40" s="1"/>
  <c r="C107" i="32"/>
  <c r="C89" i="32"/>
  <c r="C241" i="11" s="1"/>
  <c r="C47" i="32"/>
  <c r="E55" i="40"/>
  <c r="H54" i="40"/>
  <c r="K54" i="40"/>
  <c r="E52" i="40"/>
  <c r="K151" i="40"/>
  <c r="K150" i="40"/>
  <c r="K149" i="40"/>
  <c r="K148" i="40"/>
  <c r="K147" i="40"/>
  <c r="K146" i="40"/>
  <c r="K145" i="40"/>
  <c r="K144" i="40"/>
  <c r="K143" i="40"/>
  <c r="K142" i="40"/>
  <c r="K141" i="40"/>
  <c r="K140" i="40"/>
  <c r="K139" i="40"/>
  <c r="K138" i="40"/>
  <c r="K137" i="40"/>
  <c r="K136" i="40"/>
  <c r="K135" i="40"/>
  <c r="K134" i="40"/>
  <c r="K133" i="40"/>
  <c r="K132" i="40"/>
  <c r="K131" i="40"/>
  <c r="K130" i="40"/>
  <c r="K129" i="40"/>
  <c r="K128" i="40"/>
  <c r="K127" i="40"/>
  <c r="K126" i="40"/>
  <c r="K125" i="40"/>
  <c r="K124" i="40"/>
  <c r="K123" i="40"/>
  <c r="K122" i="40"/>
  <c r="K121" i="40"/>
  <c r="K120" i="40"/>
  <c r="K119" i="40"/>
  <c r="K118" i="40"/>
  <c r="K117" i="40"/>
  <c r="K116" i="40"/>
  <c r="K115" i="40"/>
  <c r="K114" i="40"/>
  <c r="K113" i="40"/>
  <c r="K112" i="40"/>
  <c r="K111" i="40"/>
  <c r="K110" i="40"/>
  <c r="K109" i="40"/>
  <c r="K108" i="40"/>
  <c r="K107" i="40"/>
  <c r="K106" i="40"/>
  <c r="K105" i="40"/>
  <c r="K104" i="40"/>
  <c r="K103" i="40"/>
  <c r="K102" i="40"/>
  <c r="K101" i="40"/>
  <c r="K100" i="40"/>
  <c r="K99" i="40"/>
  <c r="K98" i="40"/>
  <c r="K97" i="40"/>
  <c r="K96" i="40"/>
  <c r="K95" i="40"/>
  <c r="K94" i="40"/>
  <c r="K93" i="40"/>
  <c r="K92" i="40"/>
  <c r="K91" i="40"/>
  <c r="K90" i="40"/>
  <c r="K89" i="40"/>
  <c r="K88" i="40"/>
  <c r="K87" i="40"/>
  <c r="K86" i="40"/>
  <c r="K85" i="40"/>
  <c r="K84" i="40"/>
  <c r="K83" i="40"/>
  <c r="K82" i="40"/>
  <c r="K81" i="40"/>
  <c r="K80" i="40"/>
  <c r="K79" i="40"/>
  <c r="K78" i="40"/>
  <c r="K77" i="40"/>
  <c r="K76" i="40"/>
  <c r="K75" i="40"/>
  <c r="K74" i="40"/>
  <c r="K73" i="40"/>
  <c r="K72" i="40"/>
  <c r="K71" i="40"/>
  <c r="K70" i="40"/>
  <c r="K69" i="40"/>
  <c r="K68" i="40"/>
  <c r="K67" i="40"/>
  <c r="K66" i="40"/>
  <c r="K65" i="40"/>
  <c r="K64" i="40"/>
  <c r="K63" i="40"/>
  <c r="K62" i="40"/>
  <c r="K61" i="40"/>
  <c r="K60" i="40"/>
  <c r="K59" i="40"/>
  <c r="K58" i="40"/>
  <c r="K57" i="40"/>
  <c r="K56" i="40"/>
  <c r="K55" i="40"/>
  <c r="K53" i="40"/>
  <c r="K52" i="40"/>
  <c r="H151" i="40"/>
  <c r="H150" i="40"/>
  <c r="H149" i="40"/>
  <c r="H148" i="40"/>
  <c r="H147" i="40"/>
  <c r="H146" i="40"/>
  <c r="H145" i="40"/>
  <c r="H144" i="40"/>
  <c r="H143" i="40"/>
  <c r="H142" i="40"/>
  <c r="H141" i="40"/>
  <c r="H140" i="40"/>
  <c r="H139" i="40"/>
  <c r="H138" i="40"/>
  <c r="H137" i="40"/>
  <c r="H136" i="40"/>
  <c r="H135" i="40"/>
  <c r="H134" i="40"/>
  <c r="H133" i="40"/>
  <c r="H132" i="40"/>
  <c r="H131" i="40"/>
  <c r="H130" i="40"/>
  <c r="H129" i="40"/>
  <c r="H128" i="40"/>
  <c r="H127" i="40"/>
  <c r="H126" i="40"/>
  <c r="H125" i="40"/>
  <c r="H124" i="40"/>
  <c r="H123" i="40"/>
  <c r="H122" i="40"/>
  <c r="H121" i="40"/>
  <c r="H120" i="40"/>
  <c r="H119" i="40"/>
  <c r="H118" i="40"/>
  <c r="H117" i="40"/>
  <c r="H116" i="40"/>
  <c r="H115" i="40"/>
  <c r="H114" i="40"/>
  <c r="H113" i="40"/>
  <c r="H112" i="40"/>
  <c r="H111" i="40"/>
  <c r="H110" i="40"/>
  <c r="H109" i="40"/>
  <c r="H108" i="40"/>
  <c r="H107" i="40"/>
  <c r="H106" i="40"/>
  <c r="H105" i="40"/>
  <c r="H104" i="40"/>
  <c r="H103" i="40"/>
  <c r="H102" i="40"/>
  <c r="H101" i="40"/>
  <c r="H100" i="40"/>
  <c r="H99" i="40"/>
  <c r="H98" i="40"/>
  <c r="H97" i="40"/>
  <c r="H96" i="40"/>
  <c r="H95" i="40"/>
  <c r="H94" i="40"/>
  <c r="H93" i="40"/>
  <c r="H92" i="40"/>
  <c r="H91" i="40"/>
  <c r="H90" i="40"/>
  <c r="H89" i="40"/>
  <c r="H88" i="40"/>
  <c r="H87" i="40"/>
  <c r="H86" i="40"/>
  <c r="H85" i="40"/>
  <c r="H84" i="40"/>
  <c r="H83" i="40"/>
  <c r="H82" i="40"/>
  <c r="H81" i="40"/>
  <c r="H80" i="40"/>
  <c r="H79" i="40"/>
  <c r="H78" i="40"/>
  <c r="H77" i="40"/>
  <c r="H76" i="40"/>
  <c r="H75" i="40"/>
  <c r="H74" i="40"/>
  <c r="H73" i="40"/>
  <c r="H72" i="40"/>
  <c r="H71" i="40"/>
  <c r="H70" i="40"/>
  <c r="H69" i="40"/>
  <c r="H68" i="40"/>
  <c r="H67" i="40"/>
  <c r="H66" i="40"/>
  <c r="H65" i="40"/>
  <c r="H64" i="40"/>
  <c r="H63" i="40"/>
  <c r="H62" i="40"/>
  <c r="H61" i="40"/>
  <c r="H60" i="40"/>
  <c r="H59" i="40"/>
  <c r="H58" i="40"/>
  <c r="H57" i="40"/>
  <c r="H56" i="40"/>
  <c r="H55" i="40"/>
  <c r="H53" i="40"/>
  <c r="H52" i="40"/>
  <c r="E151" i="40"/>
  <c r="E150" i="40"/>
  <c r="E149" i="40"/>
  <c r="E148" i="40"/>
  <c r="E147" i="40"/>
  <c r="E146" i="40"/>
  <c r="E145" i="40"/>
  <c r="E144" i="40"/>
  <c r="E143" i="40"/>
  <c r="E142" i="40"/>
  <c r="E141" i="40"/>
  <c r="E140" i="40"/>
  <c r="E139" i="40"/>
  <c r="E138" i="40"/>
  <c r="E137" i="40"/>
  <c r="E136" i="40"/>
  <c r="E135" i="40"/>
  <c r="E134" i="40"/>
  <c r="E133" i="40"/>
  <c r="E132" i="40"/>
  <c r="E131" i="40"/>
  <c r="E130" i="40"/>
  <c r="E129" i="40"/>
  <c r="E128" i="40"/>
  <c r="E127" i="40"/>
  <c r="E126" i="40"/>
  <c r="E125" i="40"/>
  <c r="E124" i="40"/>
  <c r="E123" i="40"/>
  <c r="E122" i="40"/>
  <c r="E121" i="40"/>
  <c r="E120" i="40"/>
  <c r="E119" i="40"/>
  <c r="E118" i="40"/>
  <c r="E117" i="40"/>
  <c r="E116" i="40"/>
  <c r="E115" i="40"/>
  <c r="E114" i="40"/>
  <c r="E113" i="40"/>
  <c r="E112" i="40"/>
  <c r="E111" i="40"/>
  <c r="E110" i="40"/>
  <c r="E109" i="40"/>
  <c r="E108" i="40"/>
  <c r="E107" i="40"/>
  <c r="E106" i="40"/>
  <c r="E105" i="40"/>
  <c r="E104" i="40"/>
  <c r="E103" i="40"/>
  <c r="E102" i="40"/>
  <c r="E101" i="40"/>
  <c r="E100" i="40"/>
  <c r="E99" i="40"/>
  <c r="E98" i="40"/>
  <c r="E97" i="40"/>
  <c r="E96" i="40"/>
  <c r="E95" i="40"/>
  <c r="E94" i="40"/>
  <c r="E93" i="40"/>
  <c r="E92" i="40"/>
  <c r="E91" i="40"/>
  <c r="E90" i="40"/>
  <c r="E89" i="40"/>
  <c r="E88" i="40"/>
  <c r="E87" i="40"/>
  <c r="E86" i="40"/>
  <c r="E85" i="40"/>
  <c r="E84" i="40"/>
  <c r="E83" i="40"/>
  <c r="E82" i="40"/>
  <c r="E81" i="40"/>
  <c r="E80" i="40"/>
  <c r="E79" i="40"/>
  <c r="E78" i="40"/>
  <c r="E77" i="40"/>
  <c r="E76" i="40"/>
  <c r="E75" i="40"/>
  <c r="E74" i="40"/>
  <c r="E73" i="40"/>
  <c r="E72" i="40"/>
  <c r="E71" i="40"/>
  <c r="E70" i="40"/>
  <c r="E69" i="40"/>
  <c r="E68" i="40"/>
  <c r="E67" i="40"/>
  <c r="E66" i="40"/>
  <c r="E65" i="40"/>
  <c r="E64" i="40"/>
  <c r="E63" i="40"/>
  <c r="E62" i="40"/>
  <c r="E61" i="40"/>
  <c r="E60" i="40"/>
  <c r="E59" i="40"/>
  <c r="E58" i="40"/>
  <c r="E57" i="40"/>
  <c r="E56" i="40"/>
  <c r="E54" i="40"/>
  <c r="E53" i="40"/>
  <c r="D36" i="40" l="1"/>
  <c r="D38" i="40"/>
  <c r="D46" i="40"/>
  <c r="D47" i="40" s="1"/>
  <c r="D48" i="40" s="1"/>
  <c r="D40" i="40" l="1"/>
  <c r="D42" i="40" s="1"/>
  <c r="C46" i="32" s="1"/>
  <c r="B215" i="21"/>
  <c r="B245" i="21"/>
  <c r="C6" i="40"/>
  <c r="C3" i="40"/>
  <c r="D46" i="39" l="1"/>
  <c r="C46" i="39"/>
  <c r="C37" i="39"/>
  <c r="D37" i="39"/>
  <c r="B215" i="39"/>
  <c r="B85" i="39"/>
  <c r="B85" i="21"/>
  <c r="C69" i="39"/>
  <c r="C70" i="39"/>
  <c r="C68" i="39"/>
  <c r="C67" i="39"/>
  <c r="C66" i="39"/>
  <c r="C75" i="39"/>
  <c r="C74" i="39"/>
  <c r="C76" i="39" s="1"/>
  <c r="G73" i="39"/>
  <c r="G76" i="39" s="1"/>
  <c r="F73" i="39"/>
  <c r="F76" i="39" s="1"/>
  <c r="E73" i="39"/>
  <c r="E76" i="39" s="1"/>
  <c r="D73" i="39"/>
  <c r="D74" i="39" s="1"/>
  <c r="G73" i="21"/>
  <c r="F73" i="21"/>
  <c r="E73" i="21"/>
  <c r="I80" i="39"/>
  <c r="I81" i="39"/>
  <c r="I79" i="39"/>
  <c r="C38" i="39" s="1"/>
  <c r="I79" i="21"/>
  <c r="D38" i="39" l="1"/>
  <c r="D75" i="39"/>
  <c r="D76" i="39" s="1"/>
  <c r="E66" i="32" l="1"/>
  <c r="E65" i="32"/>
  <c r="C107" i="21" l="1"/>
  <c r="D46" i="21"/>
  <c r="C46" i="21"/>
  <c r="F45" i="21"/>
  <c r="F44" i="21"/>
  <c r="F43" i="21"/>
  <c r="E45" i="21"/>
  <c r="E44" i="21"/>
  <c r="E43" i="21"/>
  <c r="D37" i="21"/>
  <c r="C37" i="21"/>
  <c r="D73" i="21"/>
  <c r="D74" i="21" s="1"/>
  <c r="C75" i="21"/>
  <c r="C74" i="21"/>
  <c r="I80" i="21"/>
  <c r="I81" i="21"/>
  <c r="D38" i="21" l="1"/>
  <c r="D75" i="21"/>
  <c r="D76" i="21" s="1"/>
  <c r="C38" i="21"/>
  <c r="C76" i="21"/>
  <c r="B44" i="30"/>
  <c r="D193" i="39" l="1"/>
  <c r="C193" i="39"/>
  <c r="B187" i="39"/>
  <c r="B161" i="39"/>
  <c r="B161" i="21"/>
  <c r="B158" i="21"/>
  <c r="B158" i="39"/>
  <c r="B137" i="39"/>
  <c r="F157" i="39"/>
  <c r="E157" i="39"/>
  <c r="H157" i="39" s="1"/>
  <c r="F156" i="39"/>
  <c r="E156" i="39"/>
  <c r="H156" i="39" s="1"/>
  <c r="F155" i="39"/>
  <c r="H155" i="39" s="1"/>
  <c r="E155" i="39"/>
  <c r="F150" i="39"/>
  <c r="E150" i="39"/>
  <c r="B134" i="39"/>
  <c r="B115" i="39"/>
  <c r="B82" i="39"/>
  <c r="B82" i="21"/>
  <c r="B134" i="21"/>
  <c r="B187" i="21"/>
  <c r="H150" i="39" l="1"/>
  <c r="D193" i="21"/>
  <c r="C193" i="21"/>
  <c r="B137" i="21"/>
  <c r="B115" i="21"/>
  <c r="F157" i="21"/>
  <c r="E157" i="21"/>
  <c r="F156" i="21"/>
  <c r="E156" i="21"/>
  <c r="F155" i="21"/>
  <c r="E155" i="21"/>
  <c r="F150" i="21"/>
  <c r="E150" i="21"/>
  <c r="F51" i="39"/>
  <c r="E51" i="39"/>
  <c r="F46" i="39"/>
  <c r="E46" i="39"/>
  <c r="F45" i="39"/>
  <c r="E45" i="39"/>
  <c r="F44" i="39"/>
  <c r="E44" i="39"/>
  <c r="H44" i="39" s="1"/>
  <c r="F43" i="39"/>
  <c r="E43" i="39"/>
  <c r="F38" i="39"/>
  <c r="E38" i="39"/>
  <c r="F37" i="39"/>
  <c r="E37" i="39"/>
  <c r="F51" i="21"/>
  <c r="E51" i="21"/>
  <c r="E46" i="21"/>
  <c r="F46" i="21"/>
  <c r="F38" i="21"/>
  <c r="E38" i="21"/>
  <c r="F37" i="21"/>
  <c r="E37" i="21"/>
  <c r="O15" i="31"/>
  <c r="O16" i="31"/>
  <c r="O17" i="31"/>
  <c r="O18" i="31"/>
  <c r="O19" i="31"/>
  <c r="O20" i="31"/>
  <c r="O21" i="31"/>
  <c r="O22" i="31"/>
  <c r="O23" i="31"/>
  <c r="O24" i="31"/>
  <c r="O25" i="31"/>
  <c r="O26" i="31"/>
  <c r="O27" i="31"/>
  <c r="O28" i="31"/>
  <c r="O29" i="31"/>
  <c r="O30" i="31"/>
  <c r="O31" i="31"/>
  <c r="O32" i="31"/>
  <c r="O33" i="31"/>
  <c r="O34" i="31"/>
  <c r="O35" i="31"/>
  <c r="O36" i="31"/>
  <c r="O37" i="31"/>
  <c r="O38" i="31"/>
  <c r="O39" i="31"/>
  <c r="O40" i="31"/>
  <c r="O41" i="31"/>
  <c r="O42" i="31"/>
  <c r="O43" i="31"/>
  <c r="O44" i="31"/>
  <c r="O45" i="31"/>
  <c r="O46" i="31"/>
  <c r="O47" i="31"/>
  <c r="O48" i="31"/>
  <c r="O49" i="31"/>
  <c r="O50" i="31"/>
  <c r="O51" i="31"/>
  <c r="O52" i="31"/>
  <c r="O53" i="31"/>
  <c r="O14" i="31"/>
  <c r="L15" i="31"/>
  <c r="L16" i="31"/>
  <c r="L17" i="31"/>
  <c r="L18" i="31"/>
  <c r="L19" i="31"/>
  <c r="L20" i="31"/>
  <c r="L21" i="31"/>
  <c r="L22" i="31"/>
  <c r="L23" i="31"/>
  <c r="L24" i="31"/>
  <c r="L25" i="31"/>
  <c r="L26" i="31"/>
  <c r="L27" i="31"/>
  <c r="L28" i="31"/>
  <c r="L29" i="31"/>
  <c r="L30" i="31"/>
  <c r="L31" i="31"/>
  <c r="L32" i="31"/>
  <c r="L33" i="31"/>
  <c r="L34" i="31"/>
  <c r="L35" i="31"/>
  <c r="L36" i="31"/>
  <c r="L37" i="31"/>
  <c r="L38" i="31"/>
  <c r="L39" i="31"/>
  <c r="L40" i="31"/>
  <c r="L41" i="31"/>
  <c r="L42" i="31"/>
  <c r="L43" i="31"/>
  <c r="L44" i="31"/>
  <c r="L45" i="31"/>
  <c r="L46" i="31"/>
  <c r="L47" i="31"/>
  <c r="L48" i="31"/>
  <c r="L49" i="31"/>
  <c r="L50" i="31"/>
  <c r="L51" i="31"/>
  <c r="L52" i="31"/>
  <c r="L53" i="31"/>
  <c r="L14" i="31"/>
  <c r="N15" i="31"/>
  <c r="N16" i="31"/>
  <c r="N17" i="31"/>
  <c r="N18" i="31"/>
  <c r="N20" i="31"/>
  <c r="N21" i="31"/>
  <c r="N22" i="31"/>
  <c r="N23" i="31"/>
  <c r="N24" i="31"/>
  <c r="N25" i="31"/>
  <c r="N26" i="31"/>
  <c r="N27" i="31"/>
  <c r="N28" i="31"/>
  <c r="N29" i="31"/>
  <c r="N30" i="31"/>
  <c r="N31" i="31"/>
  <c r="N32" i="31"/>
  <c r="N33" i="31"/>
  <c r="N34" i="31"/>
  <c r="N35" i="31"/>
  <c r="N36" i="31"/>
  <c r="N37" i="31"/>
  <c r="N38" i="31"/>
  <c r="N39" i="31"/>
  <c r="N40" i="31"/>
  <c r="N41" i="31"/>
  <c r="N42" i="31"/>
  <c r="N43" i="31"/>
  <c r="N44" i="31"/>
  <c r="N45" i="31"/>
  <c r="N46" i="31"/>
  <c r="N47" i="31"/>
  <c r="N48" i="31"/>
  <c r="N49" i="31"/>
  <c r="N50" i="31"/>
  <c r="N51" i="31"/>
  <c r="N52" i="31"/>
  <c r="N53" i="31"/>
  <c r="N14" i="31"/>
  <c r="I15" i="31"/>
  <c r="I16" i="31"/>
  <c r="I17" i="31"/>
  <c r="I18" i="31"/>
  <c r="I19" i="31"/>
  <c r="I20" i="31"/>
  <c r="I21" i="31"/>
  <c r="I22" i="31"/>
  <c r="I23" i="31"/>
  <c r="I24" i="31"/>
  <c r="I25" i="31"/>
  <c r="I26" i="31"/>
  <c r="I27" i="31"/>
  <c r="I28" i="31"/>
  <c r="I29" i="31"/>
  <c r="I30" i="31"/>
  <c r="I31" i="31"/>
  <c r="I32" i="31"/>
  <c r="I33" i="31"/>
  <c r="I34" i="31"/>
  <c r="I35" i="31"/>
  <c r="I36" i="31"/>
  <c r="I37" i="31"/>
  <c r="I38" i="31"/>
  <c r="I39" i="31"/>
  <c r="I40" i="31"/>
  <c r="I41" i="31"/>
  <c r="I42" i="31"/>
  <c r="I43" i="31"/>
  <c r="I44" i="31"/>
  <c r="I45" i="31"/>
  <c r="I46" i="31"/>
  <c r="I47" i="31"/>
  <c r="I48" i="31"/>
  <c r="I49" i="31"/>
  <c r="I50" i="31"/>
  <c r="I51" i="31"/>
  <c r="I52" i="31"/>
  <c r="I53" i="31"/>
  <c r="I14" i="31"/>
  <c r="M14" i="31"/>
  <c r="G53" i="31"/>
  <c r="G52" i="31"/>
  <c r="G51" i="31"/>
  <c r="G50" i="31"/>
  <c r="G49" i="31"/>
  <c r="G48" i="31"/>
  <c r="G47" i="31"/>
  <c r="G46" i="31"/>
  <c r="G45" i="31"/>
  <c r="G44" i="31"/>
  <c r="G43" i="31"/>
  <c r="G42" i="31"/>
  <c r="G41" i="31"/>
  <c r="G40" i="31"/>
  <c r="G39" i="31"/>
  <c r="G38" i="31"/>
  <c r="G37" i="31"/>
  <c r="G36" i="31"/>
  <c r="G35" i="31"/>
  <c r="G34" i="31"/>
  <c r="G33" i="31"/>
  <c r="G32" i="31"/>
  <c r="G31" i="31"/>
  <c r="G30" i="31"/>
  <c r="G29" i="31"/>
  <c r="G28" i="31"/>
  <c r="G27" i="31"/>
  <c r="G26" i="31"/>
  <c r="G25" i="31"/>
  <c r="G24" i="31"/>
  <c r="G23" i="31"/>
  <c r="G22" i="31"/>
  <c r="G21" i="31"/>
  <c r="G20" i="31"/>
  <c r="G19" i="31"/>
  <c r="G18" i="31"/>
  <c r="G17" i="31"/>
  <c r="G16" i="31"/>
  <c r="G15" i="31"/>
  <c r="G14" i="31"/>
  <c r="M15" i="31"/>
  <c r="M16" i="31"/>
  <c r="M17" i="31"/>
  <c r="M18" i="31"/>
  <c r="M19" i="31"/>
  <c r="M20" i="31"/>
  <c r="M21" i="31"/>
  <c r="M22" i="31"/>
  <c r="M23" i="31"/>
  <c r="M24" i="31"/>
  <c r="M25" i="31"/>
  <c r="M26" i="31"/>
  <c r="M27" i="31"/>
  <c r="M28" i="31"/>
  <c r="M29" i="31"/>
  <c r="M30" i="31"/>
  <c r="M31" i="31"/>
  <c r="M32" i="31"/>
  <c r="M33" i="31"/>
  <c r="M34" i="31"/>
  <c r="M35" i="31"/>
  <c r="M36" i="31"/>
  <c r="M37" i="31"/>
  <c r="M38" i="31"/>
  <c r="M39" i="31"/>
  <c r="M40" i="31"/>
  <c r="M41" i="31"/>
  <c r="M42" i="31"/>
  <c r="M43" i="31"/>
  <c r="M44" i="31"/>
  <c r="M45" i="31"/>
  <c r="M46" i="31"/>
  <c r="M47" i="31"/>
  <c r="M48" i="31"/>
  <c r="M49" i="31"/>
  <c r="M50" i="31"/>
  <c r="M51" i="31"/>
  <c r="M52" i="31"/>
  <c r="M53" i="31"/>
  <c r="H46" i="39" l="1"/>
  <c r="H37" i="39"/>
  <c r="H150" i="21"/>
  <c r="H38" i="39"/>
  <c r="H37" i="21"/>
  <c r="H38" i="21"/>
  <c r="H45" i="39"/>
  <c r="H157" i="21"/>
  <c r="H51" i="21"/>
  <c r="H156" i="21"/>
  <c r="H155" i="21"/>
  <c r="H44" i="21"/>
  <c r="H43" i="39"/>
  <c r="H51" i="39"/>
  <c r="H46" i="21"/>
  <c r="H43" i="21"/>
  <c r="H45" i="21"/>
  <c r="B91" i="21" l="1"/>
  <c r="R15" i="31" l="1"/>
  <c r="R16" i="31"/>
  <c r="R17" i="31"/>
  <c r="R18" i="31"/>
  <c r="R19" i="31"/>
  <c r="R20" i="31"/>
  <c r="R21" i="31"/>
  <c r="R22" i="31"/>
  <c r="R23" i="31"/>
  <c r="R24" i="31"/>
  <c r="R25" i="31"/>
  <c r="R26" i="31"/>
  <c r="R27" i="31"/>
  <c r="R28" i="31"/>
  <c r="R29" i="31"/>
  <c r="R30" i="31"/>
  <c r="R31" i="31"/>
  <c r="R32" i="31"/>
  <c r="R33" i="31"/>
  <c r="R34" i="31"/>
  <c r="R35" i="31"/>
  <c r="R36" i="31"/>
  <c r="R37" i="31"/>
  <c r="R38" i="31"/>
  <c r="R39" i="31"/>
  <c r="R40" i="31"/>
  <c r="R41" i="31"/>
  <c r="R42" i="31"/>
  <c r="R43" i="31"/>
  <c r="R44" i="31"/>
  <c r="R45" i="31"/>
  <c r="R46" i="31"/>
  <c r="R47" i="31"/>
  <c r="R48" i="31"/>
  <c r="R49" i="31"/>
  <c r="R50" i="31"/>
  <c r="R51" i="31"/>
  <c r="R52" i="31"/>
  <c r="R53" i="31"/>
  <c r="L159" i="15" l="1"/>
  <c r="L164" i="15"/>
  <c r="L166" i="15"/>
  <c r="L165" i="15"/>
  <c r="E76" i="21"/>
  <c r="B67" i="21"/>
  <c r="B68" i="39"/>
  <c r="B68" i="21"/>
  <c r="B67" i="39"/>
  <c r="L162" i="15"/>
  <c r="L161" i="15"/>
  <c r="L160" i="15"/>
  <c r="D14" i="11" l="1"/>
  <c r="B245" i="39"/>
  <c r="B91" i="39"/>
  <c r="D111" i="11" l="1"/>
  <c r="D110" i="11"/>
  <c r="D203" i="11" l="1"/>
  <c r="D200" i="11"/>
  <c r="B104" i="32"/>
  <c r="B41" i="30" l="1"/>
  <c r="C36" i="30"/>
  <c r="B30" i="11"/>
  <c r="F15" i="32" l="1"/>
  <c r="E15" i="32"/>
  <c r="H15" i="32" s="1"/>
  <c r="F17" i="32"/>
  <c r="E17" i="32"/>
  <c r="H17" i="32" s="1"/>
  <c r="H18" i="32"/>
  <c r="E18" i="32"/>
  <c r="C27" i="30"/>
  <c r="D209" i="11"/>
  <c r="C244" i="11"/>
  <c r="B50" i="11"/>
  <c r="D143" i="11" l="1"/>
  <c r="C237" i="11"/>
  <c r="C245" i="11" l="1"/>
  <c r="C252" i="11"/>
  <c r="C251" i="11"/>
  <c r="C250" i="11"/>
  <c r="C249" i="21" l="1"/>
  <c r="E14" i="11"/>
  <c r="K14" i="11"/>
  <c r="J14" i="11"/>
  <c r="I14" i="11"/>
  <c r="H14" i="11"/>
  <c r="G14" i="11"/>
  <c r="G124" i="11" s="1"/>
  <c r="F14" i="11"/>
  <c r="F138" i="11" l="1"/>
  <c r="F124" i="11"/>
  <c r="G92" i="11"/>
  <c r="I78" i="11"/>
  <c r="J124" i="11"/>
  <c r="J93" i="11"/>
  <c r="J144" i="11"/>
  <c r="J92" i="11"/>
  <c r="K124" i="11"/>
  <c r="K92" i="11"/>
  <c r="K93" i="11"/>
  <c r="K143" i="11"/>
  <c r="G162" i="11"/>
  <c r="G161" i="11"/>
  <c r="I161" i="11"/>
  <c r="I162" i="11"/>
  <c r="H161" i="11"/>
  <c r="H163" i="11" s="1"/>
  <c r="H162" i="11"/>
  <c r="J161" i="11"/>
  <c r="J162" i="11"/>
  <c r="K161" i="11"/>
  <c r="K162" i="11"/>
  <c r="F162" i="11"/>
  <c r="F161" i="11"/>
  <c r="G172" i="11"/>
  <c r="G157" i="11"/>
  <c r="G158" i="11"/>
  <c r="G160" i="11" s="1"/>
  <c r="G171" i="11"/>
  <c r="G159" i="11"/>
  <c r="G156" i="11"/>
  <c r="G173" i="11"/>
  <c r="H157" i="11"/>
  <c r="H172" i="11"/>
  <c r="H173" i="11"/>
  <c r="H171" i="11"/>
  <c r="H158" i="11"/>
  <c r="H156" i="11"/>
  <c r="I157" i="11"/>
  <c r="I173" i="11"/>
  <c r="I172" i="11"/>
  <c r="I171" i="11"/>
  <c r="I158" i="11"/>
  <c r="I156" i="11"/>
  <c r="J171" i="11"/>
  <c r="J159" i="11"/>
  <c r="J61" i="11"/>
  <c r="J157" i="11"/>
  <c r="J158" i="11"/>
  <c r="J173" i="11"/>
  <c r="J160" i="11"/>
  <c r="J172" i="11"/>
  <c r="J156" i="11"/>
  <c r="K172" i="11"/>
  <c r="K173" i="11"/>
  <c r="K156" i="11"/>
  <c r="K158" i="11"/>
  <c r="K159" i="11"/>
  <c r="K171" i="11"/>
  <c r="K160" i="11"/>
  <c r="K157" i="11"/>
  <c r="F172" i="11"/>
  <c r="F158" i="11"/>
  <c r="F173" i="11"/>
  <c r="F171" i="11"/>
  <c r="F156" i="11"/>
  <c r="I83" i="11"/>
  <c r="I26" i="11"/>
  <c r="I195" i="11"/>
  <c r="I178" i="11"/>
  <c r="I22" i="11"/>
  <c r="I82" i="11"/>
  <c r="I54" i="11"/>
  <c r="I34" i="11"/>
  <c r="I88" i="11"/>
  <c r="I71" i="11"/>
  <c r="I76" i="11"/>
  <c r="I138" i="11"/>
  <c r="I86" i="11"/>
  <c r="I56" i="11"/>
  <c r="I77" i="11"/>
  <c r="I69" i="11"/>
  <c r="I102" i="11"/>
  <c r="I99" i="11"/>
  <c r="I84" i="11"/>
  <c r="I35" i="11"/>
  <c r="I137" i="11"/>
  <c r="I85" i="11"/>
  <c r="I97" i="11"/>
  <c r="I37" i="11"/>
  <c r="I79" i="11" s="1"/>
  <c r="I125" i="11"/>
  <c r="I55" i="11"/>
  <c r="I87" i="11"/>
  <c r="I31" i="11"/>
  <c r="F26" i="11"/>
  <c r="F183" i="11"/>
  <c r="F56" i="11"/>
  <c r="F71" i="11"/>
  <c r="F84" i="11"/>
  <c r="F69" i="11"/>
  <c r="F184" i="11"/>
  <c r="F97" i="11"/>
  <c r="F82" i="11"/>
  <c r="F181" i="11"/>
  <c r="F182" i="11" s="1"/>
  <c r="F99" i="11"/>
  <c r="F22" i="11"/>
  <c r="F60" i="11"/>
  <c r="F232" i="11"/>
  <c r="F233" i="11"/>
  <c r="F189" i="11"/>
  <c r="F137" i="11"/>
  <c r="F149" i="11"/>
  <c r="F150" i="11"/>
  <c r="F54" i="11"/>
  <c r="F102" i="11"/>
  <c r="F190" i="11"/>
  <c r="F228" i="11"/>
  <c r="F77" i="11"/>
  <c r="F59" i="11"/>
  <c r="F83" i="11"/>
  <c r="F34" i="11"/>
  <c r="F180" i="11"/>
  <c r="F229" i="11"/>
  <c r="F193" i="11"/>
  <c r="F88" i="11"/>
  <c r="F87" i="11"/>
  <c r="F125" i="11"/>
  <c r="F179" i="11" s="1"/>
  <c r="F86" i="11"/>
  <c r="F85" i="11"/>
  <c r="F148" i="11"/>
  <c r="F178" i="11"/>
  <c r="F76" i="11"/>
  <c r="F186" i="11"/>
  <c r="F177" i="11"/>
  <c r="G190" i="11"/>
  <c r="G60" i="11"/>
  <c r="G149" i="11"/>
  <c r="G69" i="11"/>
  <c r="G48" i="11"/>
  <c r="G77" i="11"/>
  <c r="G31" i="11"/>
  <c r="G56" i="11"/>
  <c r="G54" i="11"/>
  <c r="G71" i="11"/>
  <c r="G178" i="11"/>
  <c r="G99" i="11"/>
  <c r="G193" i="11"/>
  <c r="G87" i="11"/>
  <c r="G148" i="11"/>
  <c r="G229" i="11"/>
  <c r="G88" i="11"/>
  <c r="G232" i="11"/>
  <c r="G137" i="11"/>
  <c r="G125" i="11"/>
  <c r="G179" i="11" s="1"/>
  <c r="G83" i="11"/>
  <c r="G150" i="11"/>
  <c r="G102" i="11"/>
  <c r="G22" i="11"/>
  <c r="G82" i="11"/>
  <c r="G59" i="11"/>
  <c r="G86" i="11"/>
  <c r="G183" i="11"/>
  <c r="G189" i="11"/>
  <c r="G184" i="11"/>
  <c r="G180" i="11"/>
  <c r="G85" i="11"/>
  <c r="G181" i="11"/>
  <c r="G182" i="11" s="1"/>
  <c r="G233" i="11"/>
  <c r="G84" i="11"/>
  <c r="G76" i="11"/>
  <c r="G138" i="11"/>
  <c r="G97" i="11"/>
  <c r="G228" i="11"/>
  <c r="G34" i="11"/>
  <c r="G186" i="11"/>
  <c r="G177" i="11"/>
  <c r="K98" i="11"/>
  <c r="K134" i="11"/>
  <c r="K81" i="11"/>
  <c r="K132" i="11"/>
  <c r="K55" i="11"/>
  <c r="K50" i="11"/>
  <c r="K51" i="11"/>
  <c r="K123" i="11"/>
  <c r="K47" i="11"/>
  <c r="K103" i="11"/>
  <c r="K131" i="11"/>
  <c r="K87" i="11"/>
  <c r="K54" i="11"/>
  <c r="K138" i="11"/>
  <c r="K23" i="11"/>
  <c r="K76" i="11"/>
  <c r="K122" i="11"/>
  <c r="K101" i="11"/>
  <c r="K133" i="11"/>
  <c r="K174" i="11"/>
  <c r="K85" i="11"/>
  <c r="K80" i="11"/>
  <c r="K42" i="11"/>
  <c r="K114" i="11"/>
  <c r="K94" i="11"/>
  <c r="K128" i="11"/>
  <c r="K49" i="11"/>
  <c r="K100" i="11"/>
  <c r="K121" i="11"/>
  <c r="K115" i="11"/>
  <c r="K164" i="11"/>
  <c r="K167" i="11"/>
  <c r="K77" i="11"/>
  <c r="K117" i="11"/>
  <c r="K56" i="11"/>
  <c r="K163" i="11"/>
  <c r="K89" i="11"/>
  <c r="K86" i="11"/>
  <c r="K95" i="11"/>
  <c r="K155" i="11"/>
  <c r="K111" i="11"/>
  <c r="K22" i="11"/>
  <c r="K78" i="11"/>
  <c r="K70" i="11"/>
  <c r="K125" i="11"/>
  <c r="K168" i="11"/>
  <c r="K113" i="11"/>
  <c r="K129" i="11"/>
  <c r="K84" i="11"/>
  <c r="K88" i="11"/>
  <c r="K195" i="11"/>
  <c r="K120" i="11"/>
  <c r="K38" i="11"/>
  <c r="K90" i="11"/>
  <c r="K20" i="11"/>
  <c r="K71" i="11"/>
  <c r="K102" i="11"/>
  <c r="K34" i="11"/>
  <c r="K177" i="11"/>
  <c r="K112" i="11"/>
  <c r="K99" i="11"/>
  <c r="K21" i="11"/>
  <c r="K79" i="11"/>
  <c r="K17" i="11"/>
  <c r="K31" i="11"/>
  <c r="K37" i="11"/>
  <c r="K41" i="11"/>
  <c r="K57" i="11"/>
  <c r="K137" i="11"/>
  <c r="K72" i="11"/>
  <c r="K69" i="11"/>
  <c r="K46" i="11"/>
  <c r="K104" i="11"/>
  <c r="K178" i="11"/>
  <c r="K106" i="11"/>
  <c r="K116" i="11"/>
  <c r="K82" i="11"/>
  <c r="K130" i="11"/>
  <c r="K127" i="11"/>
  <c r="K91" i="11"/>
  <c r="K126" i="11"/>
  <c r="K43" i="11" a="1"/>
  <c r="K43" i="11" s="1"/>
  <c r="K105" i="11"/>
  <c r="K83" i="11"/>
  <c r="K48" i="11"/>
  <c r="K97" i="11"/>
  <c r="K63" i="11"/>
  <c r="H37" i="11"/>
  <c r="H177" i="11"/>
  <c r="H125" i="11"/>
  <c r="H133" i="11" s="1"/>
  <c r="H71" i="11"/>
  <c r="H79" i="11"/>
  <c r="H78" i="11" s="1"/>
  <c r="H22" i="11"/>
  <c r="H88" i="11"/>
  <c r="H76" i="11"/>
  <c r="H55" i="11"/>
  <c r="H35" i="11"/>
  <c r="H149" i="11"/>
  <c r="H132" i="11"/>
  <c r="H180" i="11"/>
  <c r="H148" i="11"/>
  <c r="H85" i="11"/>
  <c r="H86" i="11"/>
  <c r="H189" i="11"/>
  <c r="H34" i="11"/>
  <c r="H36" i="11" s="1"/>
  <c r="H83" i="11"/>
  <c r="H138" i="11"/>
  <c r="H56" i="11"/>
  <c r="H69" i="11"/>
  <c r="H190" i="11"/>
  <c r="H195" i="11"/>
  <c r="H229" i="11"/>
  <c r="H184" i="11"/>
  <c r="H150" i="11"/>
  <c r="H77" i="11"/>
  <c r="H84" i="11"/>
  <c r="H181" i="11"/>
  <c r="H182" i="11" s="1"/>
  <c r="H193" i="11"/>
  <c r="H233" i="11"/>
  <c r="H232" i="11"/>
  <c r="H54" i="11"/>
  <c r="H87" i="11"/>
  <c r="H31" i="11"/>
  <c r="H26" i="11"/>
  <c r="H99" i="11"/>
  <c r="H178" i="11"/>
  <c r="H183" i="11"/>
  <c r="H185" i="11" s="1"/>
  <c r="H97" i="11"/>
  <c r="H137" i="11"/>
  <c r="H187" i="11"/>
  <c r="H102" i="11"/>
  <c r="H82" i="11"/>
  <c r="H186" i="11"/>
  <c r="H228" i="11"/>
  <c r="J95" i="11"/>
  <c r="J234" i="11"/>
  <c r="J133" i="11"/>
  <c r="J98" i="11"/>
  <c r="J145" i="11"/>
  <c r="J79" i="11"/>
  <c r="J197" i="11"/>
  <c r="J84" i="11"/>
  <c r="J168" i="11"/>
  <c r="J100" i="11"/>
  <c r="J182" i="11"/>
  <c r="J113" i="11"/>
  <c r="J90" i="11"/>
  <c r="J125" i="11"/>
  <c r="J190" i="11"/>
  <c r="J174" i="11"/>
  <c r="J70" i="11"/>
  <c r="J188" i="11"/>
  <c r="J50" i="11"/>
  <c r="J232" i="11"/>
  <c r="J138" i="11"/>
  <c r="J117" i="11"/>
  <c r="J194" i="11"/>
  <c r="J163" i="11"/>
  <c r="J65" i="11"/>
  <c r="J121" i="11"/>
  <c r="J228" i="11"/>
  <c r="J180" i="11"/>
  <c r="J73" i="11"/>
  <c r="J122" i="11"/>
  <c r="J81" i="11"/>
  <c r="J104" i="11"/>
  <c r="J167" i="11"/>
  <c r="J215" i="11"/>
  <c r="J126" i="11"/>
  <c r="J183" i="11"/>
  <c r="J54" i="11"/>
  <c r="J187" i="11"/>
  <c r="J114" i="11"/>
  <c r="J155" i="11"/>
  <c r="J59" i="11"/>
  <c r="J134" i="11"/>
  <c r="J196" i="11"/>
  <c r="J150" i="11"/>
  <c r="J69" i="11"/>
  <c r="J17" i="11"/>
  <c r="J22" i="11"/>
  <c r="J213" i="11"/>
  <c r="J34" i="11"/>
  <c r="J49" i="11"/>
  <c r="J41" i="11"/>
  <c r="J195" i="11"/>
  <c r="J229" i="11"/>
  <c r="J42" i="11"/>
  <c r="J178" i="11"/>
  <c r="J103" i="11"/>
  <c r="J116" i="11"/>
  <c r="J177" i="11"/>
  <c r="J85" i="11"/>
  <c r="J20" i="11"/>
  <c r="J77" i="11"/>
  <c r="J23" i="11"/>
  <c r="J91" i="11"/>
  <c r="J115" i="11"/>
  <c r="J209" i="11"/>
  <c r="J127" i="11"/>
  <c r="J233" i="11"/>
  <c r="J97" i="11"/>
  <c r="J186" i="11"/>
  <c r="J57" i="11"/>
  <c r="J130" i="11"/>
  <c r="J31" i="11"/>
  <c r="J43" i="11" a="1"/>
  <c r="J43" i="11" s="1"/>
  <c r="J203" i="11"/>
  <c r="J184" i="11"/>
  <c r="J51" i="11"/>
  <c r="J46" i="11"/>
  <c r="J74" i="11"/>
  <c r="J86" i="11"/>
  <c r="J192" i="11"/>
  <c r="J185" i="11"/>
  <c r="J123" i="11"/>
  <c r="J62" i="11"/>
  <c r="J189" i="11"/>
  <c r="J71" i="11"/>
  <c r="J37" i="11"/>
  <c r="J106" i="11"/>
  <c r="J191" i="11"/>
  <c r="J131" i="11"/>
  <c r="J231" i="11"/>
  <c r="J148" i="11"/>
  <c r="J129" i="11"/>
  <c r="J72" i="11"/>
  <c r="J102" i="11"/>
  <c r="J181" i="11"/>
  <c r="J83" i="11"/>
  <c r="J56" i="11"/>
  <c r="J88" i="11"/>
  <c r="J128" i="11"/>
  <c r="J105" i="11"/>
  <c r="J111" i="11"/>
  <c r="J21" i="11"/>
  <c r="J82" i="11"/>
  <c r="J99" i="11"/>
  <c r="J89" i="11"/>
  <c r="J137" i="11"/>
  <c r="J80" i="11"/>
  <c r="J214" i="11"/>
  <c r="J132" i="11"/>
  <c r="J66" i="11"/>
  <c r="J179" i="11"/>
  <c r="J94" i="11"/>
  <c r="J200" i="11"/>
  <c r="J101" i="11"/>
  <c r="J112" i="11"/>
  <c r="J151" i="11"/>
  <c r="J48" i="11"/>
  <c r="J193" i="11"/>
  <c r="J76" i="11"/>
  <c r="J120" i="11"/>
  <c r="J87" i="11"/>
  <c r="J149" i="11"/>
  <c r="J38" i="11"/>
  <c r="J164" i="11"/>
  <c r="J47" i="11"/>
  <c r="J64" i="11"/>
  <c r="J78" i="11"/>
  <c r="J55" i="11"/>
  <c r="E190" i="11"/>
  <c r="E232" i="11"/>
  <c r="E233" i="11"/>
  <c r="E56" i="11"/>
  <c r="E206" i="11"/>
  <c r="E189" i="11"/>
  <c r="E57" i="11"/>
  <c r="E231" i="11"/>
  <c r="E230" i="11"/>
  <c r="E149" i="11"/>
  <c r="E151" i="11"/>
  <c r="E54" i="11"/>
  <c r="E55" i="11"/>
  <c r="E216" i="11"/>
  <c r="E209" i="11"/>
  <c r="E51" i="11"/>
  <c r="E234" i="11"/>
  <c r="E229" i="11"/>
  <c r="E214" i="11"/>
  <c r="E145" i="11"/>
  <c r="E228" i="11"/>
  <c r="E58" i="11"/>
  <c r="F379" i="11"/>
  <c r="F35" i="11"/>
  <c r="H127" i="11" l="1"/>
  <c r="I80" i="11"/>
  <c r="I98" i="11" s="1"/>
  <c r="H126" i="11"/>
  <c r="H128" i="11"/>
  <c r="I89" i="11"/>
  <c r="I100" i="11" s="1"/>
  <c r="I36" i="11"/>
  <c r="I75" i="11"/>
  <c r="H191" i="11"/>
  <c r="I38" i="11"/>
  <c r="I91" i="11"/>
  <c r="H80" i="11"/>
  <c r="H98" i="11" s="1"/>
  <c r="H89" i="11"/>
  <c r="H100" i="11" s="1"/>
  <c r="H75" i="11"/>
  <c r="H91" i="11"/>
  <c r="H38" i="11"/>
  <c r="H129" i="11"/>
  <c r="C242" i="11"/>
  <c r="D261" i="11" s="1"/>
  <c r="M261" i="11" s="1"/>
  <c r="H179" i="11"/>
  <c r="I127" i="11"/>
  <c r="F36" i="11"/>
  <c r="F185" i="11"/>
  <c r="F91" i="11"/>
  <c r="F127" i="11"/>
  <c r="F89" i="11"/>
  <c r="F100" i="11" s="1"/>
  <c r="G185" i="11"/>
  <c r="G91" i="11"/>
  <c r="G89" i="11"/>
  <c r="G90" i="11" s="1"/>
  <c r="G127" i="11"/>
  <c r="F37" i="11"/>
  <c r="G37" i="11"/>
  <c r="G163" i="11" s="1"/>
  <c r="J35" i="11"/>
  <c r="G35" i="11"/>
  <c r="H81" i="11" l="1"/>
  <c r="I90" i="11"/>
  <c r="H90" i="11"/>
  <c r="H101" i="11" s="1"/>
  <c r="D297" i="11"/>
  <c r="M297" i="11" s="1"/>
  <c r="D345" i="11"/>
  <c r="M345" i="11" s="1"/>
  <c r="D344" i="11"/>
  <c r="M344" i="11" s="1"/>
  <c r="D353" i="11"/>
  <c r="M353" i="11" s="1"/>
  <c r="D281" i="11"/>
  <c r="M281" i="11" s="1"/>
  <c r="D337" i="11"/>
  <c r="M337" i="11" s="1"/>
  <c r="D273" i="11"/>
  <c r="M273" i="11" s="1"/>
  <c r="D346" i="11"/>
  <c r="M346" i="11" s="1"/>
  <c r="D334" i="11"/>
  <c r="M334" i="11" s="1"/>
  <c r="D283" i="11"/>
  <c r="M283" i="11" s="1"/>
  <c r="D280" i="11"/>
  <c r="M280" i="11" s="1"/>
  <c r="D351" i="11"/>
  <c r="M351" i="11" s="1"/>
  <c r="D321" i="11"/>
  <c r="M321" i="11" s="1"/>
  <c r="D343" i="11"/>
  <c r="M343" i="11" s="1"/>
  <c r="D282" i="11"/>
  <c r="M282" i="11" s="1"/>
  <c r="D289" i="11"/>
  <c r="M289" i="11" s="1"/>
  <c r="D300" i="11"/>
  <c r="M300" i="11" s="1"/>
  <c r="D329" i="11"/>
  <c r="M329" i="11" s="1"/>
  <c r="D270" i="11"/>
  <c r="M270" i="11" s="1"/>
  <c r="D313" i="11"/>
  <c r="M313" i="11" s="1"/>
  <c r="D335" i="11"/>
  <c r="M335" i="11" s="1"/>
  <c r="D357" i="11"/>
  <c r="M357" i="11" s="1"/>
  <c r="D279" i="11"/>
  <c r="M279" i="11" s="1"/>
  <c r="D271" i="11"/>
  <c r="M271" i="11" s="1"/>
  <c r="D299" i="11"/>
  <c r="M299" i="11" s="1"/>
  <c r="D298" i="11"/>
  <c r="M298" i="11" s="1"/>
  <c r="D331" i="11"/>
  <c r="M331" i="11" s="1"/>
  <c r="D305" i="11"/>
  <c r="M305" i="11" s="1"/>
  <c r="D287" i="11"/>
  <c r="M287" i="11" s="1"/>
  <c r="D293" i="11"/>
  <c r="M293" i="11" s="1"/>
  <c r="D354" i="11"/>
  <c r="M354" i="11" s="1"/>
  <c r="D290" i="11"/>
  <c r="M290" i="11" s="1"/>
  <c r="D349" i="11"/>
  <c r="M349" i="11" s="1"/>
  <c r="D285" i="11"/>
  <c r="M285" i="11" s="1"/>
  <c r="D336" i="11"/>
  <c r="M336" i="11" s="1"/>
  <c r="D272" i="11"/>
  <c r="M272" i="11" s="1"/>
  <c r="D291" i="11"/>
  <c r="M291" i="11" s="1"/>
  <c r="D326" i="11"/>
  <c r="M326" i="11" s="1"/>
  <c r="D262" i="11"/>
  <c r="M262" i="11" s="1"/>
  <c r="D341" i="11"/>
  <c r="M341" i="11" s="1"/>
  <c r="D277" i="11"/>
  <c r="M277" i="11" s="1"/>
  <c r="D328" i="11"/>
  <c r="M328" i="11" s="1"/>
  <c r="D264" i="11"/>
  <c r="M264" i="11" s="1"/>
  <c r="D275" i="11"/>
  <c r="M275" i="11" s="1"/>
  <c r="D318" i="11"/>
  <c r="M318" i="11" s="1"/>
  <c r="D327" i="11"/>
  <c r="M327" i="11" s="1"/>
  <c r="D263" i="11"/>
  <c r="M263" i="11" s="1"/>
  <c r="D338" i="11"/>
  <c r="M338" i="11" s="1"/>
  <c r="D274" i="11"/>
  <c r="M274" i="11" s="1"/>
  <c r="D333" i="11"/>
  <c r="M333" i="11" s="1"/>
  <c r="D269" i="11"/>
  <c r="M269" i="11" s="1"/>
  <c r="D320" i="11"/>
  <c r="M320" i="11" s="1"/>
  <c r="D347" i="11"/>
  <c r="M347" i="11" s="1"/>
  <c r="D267" i="11"/>
  <c r="M267" i="11" s="1"/>
  <c r="D310" i="11"/>
  <c r="M310" i="11" s="1"/>
  <c r="D265" i="11"/>
  <c r="M265" i="11" s="1"/>
  <c r="D319" i="11"/>
  <c r="M319" i="11" s="1"/>
  <c r="D340" i="11"/>
  <c r="M340" i="11" s="1"/>
  <c r="D330" i="11"/>
  <c r="M330" i="11" s="1"/>
  <c r="D266" i="11"/>
  <c r="M266" i="11" s="1"/>
  <c r="D325" i="11"/>
  <c r="M325" i="11" s="1"/>
  <c r="D356" i="11"/>
  <c r="M356" i="11" s="1"/>
  <c r="D312" i="11"/>
  <c r="M312" i="11" s="1"/>
  <c r="D339" i="11"/>
  <c r="M339" i="11" s="1"/>
  <c r="D355" i="11"/>
  <c r="M355" i="11" s="1"/>
  <c r="D302" i="11"/>
  <c r="M302" i="11" s="1"/>
  <c r="D284" i="11"/>
  <c r="M284" i="11" s="1"/>
  <c r="D311" i="11"/>
  <c r="M311" i="11" s="1"/>
  <c r="D324" i="11"/>
  <c r="M324" i="11" s="1"/>
  <c r="D322" i="11"/>
  <c r="M322" i="11" s="1"/>
  <c r="D348" i="11"/>
  <c r="M348" i="11" s="1"/>
  <c r="D317" i="11"/>
  <c r="M317" i="11" s="1"/>
  <c r="D292" i="11"/>
  <c r="M292" i="11" s="1"/>
  <c r="D304" i="11"/>
  <c r="M304" i="11" s="1"/>
  <c r="D323" i="11"/>
  <c r="M323" i="11" s="1"/>
  <c r="D358" i="11"/>
  <c r="M358" i="11" s="1"/>
  <c r="D294" i="11"/>
  <c r="M294" i="11" s="1"/>
  <c r="D276" i="11"/>
  <c r="M276" i="11" s="1"/>
  <c r="D303" i="11"/>
  <c r="M303" i="11" s="1"/>
  <c r="D316" i="11"/>
  <c r="M316" i="11" s="1"/>
  <c r="D314" i="11"/>
  <c r="M314" i="11" s="1"/>
  <c r="D332" i="11"/>
  <c r="M332" i="11" s="1"/>
  <c r="D309" i="11"/>
  <c r="M309" i="11" s="1"/>
  <c r="D360" i="11"/>
  <c r="M360" i="11" s="1"/>
  <c r="D296" i="11"/>
  <c r="M296" i="11" s="1"/>
  <c r="D315" i="11"/>
  <c r="M315" i="11" s="1"/>
  <c r="D350" i="11"/>
  <c r="M350" i="11" s="1"/>
  <c r="D286" i="11"/>
  <c r="M286" i="11" s="1"/>
  <c r="D359" i="11"/>
  <c r="M359" i="11" s="1"/>
  <c r="D295" i="11"/>
  <c r="M295" i="11" s="1"/>
  <c r="D308" i="11"/>
  <c r="M308" i="11" s="1"/>
  <c r="D306" i="11"/>
  <c r="M306" i="11" s="1"/>
  <c r="D268" i="11"/>
  <c r="M268" i="11" s="1"/>
  <c r="D301" i="11"/>
  <c r="M301" i="11" s="1"/>
  <c r="D352" i="11"/>
  <c r="M352" i="11" s="1"/>
  <c r="D288" i="11"/>
  <c r="M288" i="11" s="1"/>
  <c r="D307" i="11"/>
  <c r="M307" i="11" s="1"/>
  <c r="D342" i="11"/>
  <c r="M342" i="11" s="1"/>
  <c r="D278" i="11"/>
  <c r="M278" i="11" s="1"/>
  <c r="H103" i="11"/>
  <c r="F79" i="11"/>
  <c r="F38" i="11"/>
  <c r="F90" i="11"/>
  <c r="G100" i="11"/>
  <c r="G79" i="11"/>
  <c r="G78" i="11"/>
  <c r="G38" i="11"/>
  <c r="F78" i="11"/>
  <c r="D150" i="11"/>
  <c r="D149" i="11"/>
  <c r="D148" i="11"/>
  <c r="C363" i="11"/>
  <c r="D369" i="11"/>
  <c r="C369" i="11"/>
  <c r="D151" i="11"/>
  <c r="D73" i="11"/>
  <c r="D144" i="11"/>
  <c r="D49" i="11"/>
  <c r="D47" i="11"/>
  <c r="D48" i="11"/>
  <c r="D74" i="11"/>
  <c r="D50" i="11"/>
  <c r="D20" i="11"/>
  <c r="D21" i="11"/>
  <c r="D27" i="11"/>
  <c r="D35" i="11"/>
  <c r="D41" i="11"/>
  <c r="D51" i="11"/>
  <c r="D57" i="11"/>
  <c r="D61" i="11"/>
  <c r="D65" i="11"/>
  <c r="D71" i="11"/>
  <c r="D77" i="11"/>
  <c r="D81" i="11"/>
  <c r="D85" i="11"/>
  <c r="D89" i="11"/>
  <c r="D93" i="11"/>
  <c r="D97" i="11"/>
  <c r="D101" i="11"/>
  <c r="D105" i="11"/>
  <c r="D109" i="11"/>
  <c r="D114" i="11"/>
  <c r="D120" i="11"/>
  <c r="D124" i="11"/>
  <c r="D128" i="11"/>
  <c r="D132" i="11"/>
  <c r="D138" i="11"/>
  <c r="D22" i="11"/>
  <c r="D30" i="11"/>
  <c r="D36" i="11"/>
  <c r="D42" i="11"/>
  <c r="D54" i="11"/>
  <c r="D58" i="11"/>
  <c r="D62" i="11"/>
  <c r="D66" i="11"/>
  <c r="D72" i="11"/>
  <c r="D78" i="11"/>
  <c r="D82" i="11"/>
  <c r="D86" i="11"/>
  <c r="D90" i="11"/>
  <c r="D94" i="11"/>
  <c r="D98" i="11"/>
  <c r="D102" i="11"/>
  <c r="D106" i="11"/>
  <c r="D115" i="11"/>
  <c r="D121" i="11"/>
  <c r="D125" i="11"/>
  <c r="D129" i="11"/>
  <c r="D133" i="11"/>
  <c r="D145" i="11"/>
  <c r="D26" i="11"/>
  <c r="D34" i="11"/>
  <c r="D38" i="11"/>
  <c r="D46" i="11"/>
  <c r="D56" i="11"/>
  <c r="D60" i="11"/>
  <c r="D64" i="11"/>
  <c r="D70" i="11"/>
  <c r="D76" i="11"/>
  <c r="D80" i="11"/>
  <c r="D84" i="11"/>
  <c r="D88" i="11"/>
  <c r="D92" i="11"/>
  <c r="D96" i="11"/>
  <c r="D100" i="11"/>
  <c r="D104" i="11"/>
  <c r="D108" i="11"/>
  <c r="D113" i="11"/>
  <c r="D117" i="11"/>
  <c r="D123" i="11"/>
  <c r="D127" i="11"/>
  <c r="D131" i="11"/>
  <c r="D137" i="11"/>
  <c r="D17" i="11"/>
  <c r="D152" i="11" s="1"/>
  <c r="D23" i="11"/>
  <c r="D31" i="11"/>
  <c r="D37" i="11"/>
  <c r="D43" i="11"/>
  <c r="D55" i="11"/>
  <c r="D59" i="11"/>
  <c r="D63" i="11"/>
  <c r="D69" i="11"/>
  <c r="D75" i="11"/>
  <c r="D79" i="11"/>
  <c r="D83" i="11"/>
  <c r="D87" i="11"/>
  <c r="D91" i="11"/>
  <c r="D95" i="11"/>
  <c r="D99" i="11"/>
  <c r="D103" i="11"/>
  <c r="D107" i="11"/>
  <c r="D112" i="11"/>
  <c r="D116" i="11"/>
  <c r="D122" i="11"/>
  <c r="D126" i="11"/>
  <c r="D130" i="11"/>
  <c r="D134" i="11"/>
  <c r="I81" i="11" l="1"/>
  <c r="I103" i="11" s="1"/>
  <c r="F80" i="11"/>
  <c r="F98" i="11" s="1"/>
  <c r="G80" i="11"/>
  <c r="G98" i="11" s="1"/>
  <c r="B188" i="15"/>
  <c r="I101" i="11" l="1"/>
  <c r="F81" i="11"/>
  <c r="F103" i="11" s="1"/>
  <c r="G81" i="11"/>
  <c r="G103" i="11" s="1"/>
  <c r="G188" i="15"/>
  <c r="H188" i="15"/>
  <c r="I188" i="15"/>
  <c r="J188" i="15"/>
  <c r="L188" i="15"/>
  <c r="E188" i="15"/>
  <c r="F188" i="15"/>
  <c r="K188" i="15"/>
  <c r="D188" i="15"/>
  <c r="C188" i="15"/>
  <c r="C175" i="39"/>
  <c r="I159" i="11" s="1"/>
  <c r="I160" i="11" s="1"/>
  <c r="I163" i="11" s="1"/>
  <c r="C175" i="21"/>
  <c r="H159" i="11" s="1"/>
  <c r="H160" i="11" s="1"/>
  <c r="D368" i="11"/>
  <c r="C368" i="11"/>
  <c r="R14" i="31"/>
  <c r="S31" i="31"/>
  <c r="S32" i="31"/>
  <c r="S53" i="31"/>
  <c r="G138" i="15"/>
  <c r="G139" i="15"/>
  <c r="G140" i="15"/>
  <c r="G141" i="15"/>
  <c r="G137" i="15"/>
  <c r="G41" i="11" l="1"/>
  <c r="I41" i="11"/>
  <c r="H41" i="11"/>
  <c r="H21" i="11"/>
  <c r="I21" i="11"/>
  <c r="I46" i="11"/>
  <c r="H46" i="11"/>
  <c r="G42" i="11"/>
  <c r="I42" i="11"/>
  <c r="H42" i="11"/>
  <c r="I20" i="11"/>
  <c r="H20" i="11"/>
  <c r="F101" i="11"/>
  <c r="F159" i="11"/>
  <c r="F157" i="11"/>
  <c r="G101" i="11"/>
  <c r="F55" i="11"/>
  <c r="G55" i="11"/>
  <c r="F20" i="11"/>
  <c r="G20" i="11"/>
  <c r="F46" i="11"/>
  <c r="G46" i="11"/>
  <c r="F21" i="11"/>
  <c r="G21" i="11"/>
  <c r="F41" i="11"/>
  <c r="F42" i="11"/>
  <c r="D367" i="11"/>
  <c r="D372" i="11" s="1"/>
  <c r="C367" i="11"/>
  <c r="C372" i="11" s="1"/>
  <c r="H23" i="11" l="1"/>
  <c r="H27" i="11"/>
  <c r="H43" i="11" s="1" a="1"/>
  <c r="H43" i="11" s="1"/>
  <c r="I27" i="11"/>
  <c r="I23" i="11"/>
  <c r="F160" i="11"/>
  <c r="F163" i="11" s="1"/>
  <c r="F23" i="11"/>
  <c r="F155" i="11" s="1"/>
  <c r="F27" i="11"/>
  <c r="F31" i="11" s="1"/>
  <c r="G23" i="11"/>
  <c r="C16" i="39"/>
  <c r="I43" i="11" l="1" a="1"/>
  <c r="I43" i="11" s="1"/>
  <c r="I51" i="11" s="1"/>
  <c r="I57" i="11" s="1"/>
  <c r="H155" i="11"/>
  <c r="H70" i="11"/>
  <c r="I70" i="11"/>
  <c r="I155" i="11"/>
  <c r="I164" i="11" s="1"/>
  <c r="H51" i="11"/>
  <c r="F164" i="11"/>
  <c r="F43" i="11" a="1"/>
  <c r="F43" i="11" s="1"/>
  <c r="F70" i="11"/>
  <c r="G155" i="11"/>
  <c r="G70" i="11"/>
  <c r="G43" i="11" a="1"/>
  <c r="G43" i="11" s="1"/>
  <c r="F75" i="11"/>
  <c r="C243" i="11"/>
  <c r="H164" i="11" l="1"/>
  <c r="H57" i="11"/>
  <c r="F51" i="11"/>
  <c r="G164" i="11"/>
  <c r="C370" i="11"/>
  <c r="D370" i="11"/>
  <c r="C371" i="11"/>
  <c r="D371" i="11"/>
  <c r="H58" i="11" l="1"/>
  <c r="F57" i="11"/>
  <c r="F58" i="11" s="1"/>
  <c r="C376" i="11"/>
  <c r="D400" i="11" s="1"/>
  <c r="D28" i="32"/>
  <c r="C28" i="32"/>
  <c r="B28" i="32"/>
  <c r="B30" i="32" s="1"/>
  <c r="H66" i="11" l="1"/>
  <c r="H64" i="11"/>
  <c r="H59" i="11"/>
  <c r="H61" i="11" s="1"/>
  <c r="I60" i="11" s="1"/>
  <c r="D858" i="11"/>
  <c r="D798" i="11"/>
  <c r="D803" i="11"/>
  <c r="D1031" i="11"/>
  <c r="D710" i="11"/>
  <c r="D1380" i="11"/>
  <c r="D1348" i="11"/>
  <c r="D1367" i="11"/>
  <c r="D1143" i="11"/>
  <c r="D1006" i="11"/>
  <c r="D987" i="11"/>
  <c r="D1049" i="11"/>
  <c r="D1320" i="11"/>
  <c r="D1055" i="11"/>
  <c r="D1046" i="11"/>
  <c r="D1045" i="11"/>
  <c r="D1260" i="11"/>
  <c r="D1370" i="11"/>
  <c r="D1054" i="11"/>
  <c r="D1084" i="11"/>
  <c r="D1243" i="11"/>
  <c r="D1136" i="11"/>
  <c r="D969" i="11"/>
  <c r="D1198" i="11"/>
  <c r="D1392" i="11"/>
  <c r="D1292" i="11"/>
  <c r="D1316" i="11"/>
  <c r="D1174" i="11"/>
  <c r="D733" i="11"/>
  <c r="D892" i="11"/>
  <c r="D1312" i="11"/>
  <c r="D845" i="11"/>
  <c r="D1252" i="11"/>
  <c r="D1197" i="11"/>
  <c r="D966" i="11"/>
  <c r="D860" i="11"/>
  <c r="D1156" i="11"/>
  <c r="D1386" i="11"/>
  <c r="D1365" i="11"/>
  <c r="D1011" i="11"/>
  <c r="D1041" i="11"/>
  <c r="D1071" i="11"/>
  <c r="D1303" i="11"/>
  <c r="D1184" i="11"/>
  <c r="D942" i="11"/>
  <c r="D745" i="11"/>
  <c r="D1169" i="11"/>
  <c r="D841" i="11"/>
  <c r="D991" i="11"/>
  <c r="D1185" i="11"/>
  <c r="D1213" i="11"/>
  <c r="D869" i="11"/>
  <c r="D1314" i="11"/>
  <c r="D1385" i="11"/>
  <c r="D1224" i="11"/>
  <c r="D1081" i="11"/>
  <c r="D903" i="11"/>
  <c r="D1351" i="11"/>
  <c r="D1181" i="11"/>
  <c r="D1080" i="11"/>
  <c r="D1371" i="11"/>
  <c r="D1220" i="11"/>
  <c r="D1349" i="11"/>
  <c r="D1376" i="11"/>
  <c r="D1203" i="11"/>
  <c r="D1395" i="11"/>
  <c r="D1159" i="11"/>
  <c r="D1339" i="11"/>
  <c r="D1306" i="11"/>
  <c r="D1187" i="11"/>
  <c r="D955" i="11"/>
  <c r="D1340" i="11"/>
  <c r="D1246" i="11"/>
  <c r="D1341" i="11"/>
  <c r="D1035" i="11"/>
  <c r="D1302" i="11"/>
  <c r="D1271" i="11"/>
  <c r="D1259" i="11"/>
  <c r="D1336" i="11"/>
  <c r="D1226" i="11"/>
  <c r="D1394" i="11"/>
  <c r="D1023" i="11"/>
  <c r="D1262" i="11"/>
  <c r="D1396" i="11"/>
  <c r="D1390" i="11"/>
  <c r="D1364" i="11"/>
  <c r="D1237" i="11"/>
  <c r="D990" i="11"/>
  <c r="D1132" i="11"/>
  <c r="D1183" i="11"/>
  <c r="D675" i="11"/>
  <c r="D1175" i="11"/>
  <c r="D1319" i="11"/>
  <c r="D1298" i="11"/>
  <c r="D1065" i="11"/>
  <c r="D1040" i="11"/>
  <c r="D1345" i="11"/>
  <c r="D1264" i="11"/>
  <c r="D1362" i="11"/>
  <c r="D1053" i="11"/>
  <c r="D1332" i="11"/>
  <c r="D1391" i="11"/>
  <c r="D1149" i="11"/>
  <c r="D1311" i="11"/>
  <c r="D1293" i="11"/>
  <c r="D1171" i="11"/>
  <c r="D882" i="11"/>
  <c r="D1388" i="11"/>
  <c r="D1389" i="11"/>
  <c r="D1094" i="11"/>
  <c r="D1269" i="11"/>
  <c r="D1281" i="11"/>
  <c r="D1161" i="11"/>
  <c r="D507" i="11"/>
  <c r="D1216" i="11"/>
  <c r="D1120" i="11"/>
  <c r="D881" i="11"/>
  <c r="D1121" i="11"/>
  <c r="D1249" i="11"/>
  <c r="D1001" i="11"/>
  <c r="D601" i="11"/>
  <c r="D1301" i="11"/>
  <c r="D929" i="11"/>
  <c r="D909" i="11"/>
  <c r="D973" i="11"/>
  <c r="D1300" i="11"/>
  <c r="D816" i="11"/>
  <c r="D1373" i="11"/>
  <c r="D1033" i="11"/>
  <c r="D1109" i="11"/>
  <c r="D1133" i="11"/>
  <c r="D1275" i="11"/>
  <c r="D1222" i="11"/>
  <c r="D515" i="11"/>
  <c r="D1357" i="11"/>
  <c r="D1201" i="11"/>
  <c r="D1350" i="11"/>
  <c r="D1378" i="11"/>
  <c r="D889" i="11"/>
  <c r="D922" i="11"/>
  <c r="D1122" i="11"/>
  <c r="D1254" i="11"/>
  <c r="D1004" i="11"/>
  <c r="D689" i="11"/>
  <c r="D1147" i="11"/>
  <c r="D1354" i="11"/>
  <c r="D1190" i="11"/>
  <c r="D1338" i="11"/>
  <c r="D1361" i="11"/>
  <c r="D807" i="11"/>
  <c r="D1337" i="11"/>
  <c r="D1104" i="11"/>
  <c r="D1239" i="11"/>
  <c r="D989" i="11"/>
  <c r="D934" i="11"/>
  <c r="D1359" i="11"/>
  <c r="D1193" i="11"/>
  <c r="D1375" i="11"/>
  <c r="D1025" i="11"/>
  <c r="D1352" i="11"/>
  <c r="D1179" i="11"/>
  <c r="D1324" i="11"/>
  <c r="D1356" i="11"/>
  <c r="D1383" i="11"/>
  <c r="D1328" i="11"/>
  <c r="D1082" i="11"/>
  <c r="D1219" i="11"/>
  <c r="D958" i="11"/>
  <c r="D871" i="11"/>
  <c r="D944" i="11"/>
  <c r="D1256" i="11"/>
  <c r="D911" i="11"/>
  <c r="D1330" i="11"/>
  <c r="D1043" i="11"/>
  <c r="D1346" i="11"/>
  <c r="D1347" i="11"/>
  <c r="D1125" i="11"/>
  <c r="D1335" i="11"/>
  <c r="D1290" i="11"/>
  <c r="D1228" i="11"/>
  <c r="D1153" i="11"/>
  <c r="D1093" i="11"/>
  <c r="D1032" i="11"/>
  <c r="D941" i="11"/>
  <c r="D1308" i="11"/>
  <c r="D1236" i="11"/>
  <c r="D1168" i="11"/>
  <c r="D1115" i="11"/>
  <c r="D1052" i="11"/>
  <c r="D983" i="11"/>
  <c r="D1299" i="11"/>
  <c r="D1141" i="11"/>
  <c r="D951" i="11"/>
  <c r="D918" i="11"/>
  <c r="D848" i="11"/>
  <c r="D488" i="11"/>
  <c r="D1363" i="11"/>
  <c r="D1234" i="11"/>
  <c r="D985" i="11"/>
  <c r="D1127" i="11"/>
  <c r="D1177" i="11"/>
  <c r="D493" i="11"/>
  <c r="D1277" i="11"/>
  <c r="D1099" i="11"/>
  <c r="D1148" i="11"/>
  <c r="D1294" i="11"/>
  <c r="D1113" i="11"/>
  <c r="D1146" i="11"/>
  <c r="D913" i="11"/>
  <c r="D1261" i="11"/>
  <c r="D1000" i="11"/>
  <c r="D1393" i="11"/>
  <c r="D1282" i="11"/>
  <c r="D1063" i="11"/>
  <c r="D1325" i="11"/>
  <c r="D1276" i="11"/>
  <c r="D1212" i="11"/>
  <c r="D1140" i="11"/>
  <c r="D1077" i="11"/>
  <c r="D1020" i="11"/>
  <c r="D886" i="11"/>
  <c r="D1287" i="11"/>
  <c r="D1215" i="11"/>
  <c r="D1158" i="11"/>
  <c r="D1105" i="11"/>
  <c r="D1038" i="11"/>
  <c r="D928" i="11"/>
  <c r="D1253" i="11"/>
  <c r="D1083" i="11"/>
  <c r="D880" i="11"/>
  <c r="D855" i="11"/>
  <c r="D776" i="11"/>
  <c r="D606" i="11"/>
  <c r="D1164" i="11"/>
  <c r="D1178" i="11"/>
  <c r="D669" i="11"/>
  <c r="D1072" i="11"/>
  <c r="D794" i="11"/>
  <c r="D817" i="11"/>
  <c r="D1021" i="11"/>
  <c r="D1331" i="11"/>
  <c r="D1085" i="11"/>
  <c r="D1227" i="11"/>
  <c r="D884" i="11"/>
  <c r="D1022" i="11"/>
  <c r="D939" i="11"/>
  <c r="D1326" i="11"/>
  <c r="D1036" i="11"/>
  <c r="D1018" i="11"/>
  <c r="D1005" i="11"/>
  <c r="D1096" i="11"/>
  <c r="D838" i="11"/>
  <c r="D1382" i="11"/>
  <c r="D1304" i="11"/>
  <c r="D1075" i="11"/>
  <c r="D1172" i="11"/>
  <c r="D1221" i="11"/>
  <c r="D1366" i="11"/>
  <c r="D1245" i="11"/>
  <c r="D992" i="11"/>
  <c r="D1135" i="11"/>
  <c r="D1191" i="11"/>
  <c r="D764" i="11"/>
  <c r="D1379" i="11"/>
  <c r="D1286" i="11"/>
  <c r="D1068" i="11"/>
  <c r="D1114" i="11"/>
  <c r="D1176" i="11"/>
  <c r="D1353" i="11"/>
  <c r="D1231" i="11"/>
  <c r="D960" i="11"/>
  <c r="D1119" i="11"/>
  <c r="D1154" i="11"/>
  <c r="D557" i="11"/>
  <c r="D1086" i="11"/>
  <c r="D1250" i="11"/>
  <c r="D1318" i="11"/>
  <c r="D1377" i="11"/>
  <c r="D1279" i="11"/>
  <c r="D1057" i="11"/>
  <c r="D1078" i="11"/>
  <c r="D1157" i="11"/>
  <c r="D1291" i="11"/>
  <c r="D1217" i="11"/>
  <c r="D898" i="11"/>
  <c r="D1106" i="11"/>
  <c r="D1100" i="11"/>
  <c r="D483" i="11"/>
  <c r="D1343" i="11"/>
  <c r="D1151" i="11"/>
  <c r="D1372" i="11"/>
  <c r="D1199" i="11"/>
  <c r="D847" i="11"/>
  <c r="D1374" i="11"/>
  <c r="D1248" i="11"/>
  <c r="D1008" i="11"/>
  <c r="D1315" i="11"/>
  <c r="D1258" i="11"/>
  <c r="D1196" i="11"/>
  <c r="D1130" i="11"/>
  <c r="D1062" i="11"/>
  <c r="D1002" i="11"/>
  <c r="D833" i="11"/>
  <c r="D1270" i="11"/>
  <c r="D1200" i="11"/>
  <c r="D1145" i="11"/>
  <c r="D1092" i="11"/>
  <c r="D1016" i="11"/>
  <c r="D823" i="11"/>
  <c r="D1214" i="11"/>
  <c r="D1024" i="11"/>
  <c r="D820" i="11"/>
  <c r="D697" i="11"/>
  <c r="D743" i="11"/>
  <c r="D1387" i="11"/>
  <c r="D788" i="11"/>
  <c r="D1116" i="11"/>
  <c r="D1244" i="11"/>
  <c r="D998" i="11"/>
  <c r="D964" i="11"/>
  <c r="D1235" i="11"/>
  <c r="D1397" i="11"/>
  <c r="D1285" i="11"/>
  <c r="D1026" i="11"/>
  <c r="D1108" i="11"/>
  <c r="D537" i="11"/>
  <c r="D948" i="11"/>
  <c r="D726" i="11"/>
  <c r="D1044" i="11"/>
  <c r="D919" i="11"/>
  <c r="D831" i="11"/>
  <c r="D1079" i="11"/>
  <c r="D877" i="11"/>
  <c r="D687" i="11"/>
  <c r="D656" i="11"/>
  <c r="D981" i="11"/>
  <c r="D1162" i="11"/>
  <c r="D1280" i="11"/>
  <c r="D758" i="11"/>
  <c r="D1218" i="11"/>
  <c r="D839" i="11"/>
  <c r="D569" i="11"/>
  <c r="D840" i="11"/>
  <c r="D910" i="11"/>
  <c r="D473" i="11"/>
  <c r="D741" i="11"/>
  <c r="D852" i="11"/>
  <c r="D766" i="11"/>
  <c r="D1107" i="11"/>
  <c r="D879" i="11"/>
  <c r="D1050" i="11"/>
  <c r="D846" i="11"/>
  <c r="D809" i="11"/>
  <c r="D967" i="11"/>
  <c r="D593" i="11"/>
  <c r="D974" i="11"/>
  <c r="D946" i="11"/>
  <c r="D867" i="11"/>
  <c r="D1344" i="11"/>
  <c r="D1117" i="11"/>
  <c r="D1333" i="11"/>
  <c r="D1288" i="11"/>
  <c r="D1223" i="11"/>
  <c r="D1150" i="11"/>
  <c r="D1088" i="11"/>
  <c r="D1030" i="11"/>
  <c r="D920" i="11"/>
  <c r="D1297" i="11"/>
  <c r="D1230" i="11"/>
  <c r="D1165" i="11"/>
  <c r="D1111" i="11"/>
  <c r="D1048" i="11"/>
  <c r="D979" i="11"/>
  <c r="D1289" i="11"/>
  <c r="D1131" i="11"/>
  <c r="D935" i="11"/>
  <c r="D899" i="11"/>
  <c r="D815" i="11"/>
  <c r="D603" i="11"/>
  <c r="D1355" i="11"/>
  <c r="D1182" i="11"/>
  <c r="D1384" i="11"/>
  <c r="D1240" i="11"/>
  <c r="D970" i="11"/>
  <c r="D1381" i="11"/>
  <c r="D1267" i="11"/>
  <c r="D1039" i="11"/>
  <c r="D1321" i="11"/>
  <c r="D1263" i="11"/>
  <c r="D1204" i="11"/>
  <c r="D1137" i="11"/>
  <c r="D1067" i="11"/>
  <c r="D1014" i="11"/>
  <c r="D857" i="11"/>
  <c r="D1278" i="11"/>
  <c r="D1209" i="11"/>
  <c r="D1152" i="11"/>
  <c r="D1098" i="11"/>
  <c r="D1028" i="11"/>
  <c r="D874" i="11"/>
  <c r="D1229" i="11"/>
  <c r="D1061" i="11"/>
  <c r="D856" i="11"/>
  <c r="D821" i="11"/>
  <c r="D712" i="11"/>
  <c r="D490" i="11"/>
  <c r="D725" i="11"/>
  <c r="D1283" i="11"/>
  <c r="D1205" i="11"/>
  <c r="D1129" i="11"/>
  <c r="D1069" i="11"/>
  <c r="D1007" i="11"/>
  <c r="D717" i="11"/>
  <c r="D932" i="11"/>
  <c r="D865" i="11"/>
  <c r="D806" i="11"/>
  <c r="D961" i="11"/>
  <c r="D894" i="11"/>
  <c r="D835" i="11"/>
  <c r="D558" i="11"/>
  <c r="D926" i="11"/>
  <c r="D804" i="11"/>
  <c r="D737" i="11"/>
  <c r="D670" i="11"/>
  <c r="D662" i="11"/>
  <c r="D583" i="11"/>
  <c r="D539" i="11"/>
  <c r="D1091" i="11"/>
  <c r="D1029" i="11"/>
  <c r="D925" i="11"/>
  <c r="D962" i="11"/>
  <c r="D897" i="11"/>
  <c r="D827" i="11"/>
  <c r="D674" i="11"/>
  <c r="D927" i="11"/>
  <c r="D861" i="11"/>
  <c r="D738" i="11"/>
  <c r="D949" i="11"/>
  <c r="D832" i="11"/>
  <c r="D1274" i="11"/>
  <c r="D1051" i="11"/>
  <c r="D1323" i="11"/>
  <c r="D1266" i="11"/>
  <c r="D1206" i="11"/>
  <c r="D1138" i="11"/>
  <c r="D1070" i="11"/>
  <c r="D1017" i="11"/>
  <c r="D866" i="11"/>
  <c r="D1284" i="11"/>
  <c r="D1211" i="11"/>
  <c r="D1155" i="11"/>
  <c r="D1101" i="11"/>
  <c r="D1034" i="11"/>
  <c r="D905" i="11"/>
  <c r="D1241" i="11"/>
  <c r="D1073" i="11"/>
  <c r="D868" i="11"/>
  <c r="D837" i="11"/>
  <c r="D744" i="11"/>
  <c r="D553" i="11"/>
  <c r="D1327" i="11"/>
  <c r="D1097" i="11"/>
  <c r="D1358" i="11"/>
  <c r="D1166" i="11"/>
  <c r="D677" i="11"/>
  <c r="D1369" i="11"/>
  <c r="D1207" i="11"/>
  <c r="D963" i="11"/>
  <c r="D1309" i="11"/>
  <c r="D1247" i="11"/>
  <c r="D1188" i="11"/>
  <c r="D1124" i="11"/>
  <c r="D1056" i="11"/>
  <c r="D995" i="11"/>
  <c r="D814" i="11"/>
  <c r="D1265" i="11"/>
  <c r="D1189" i="11"/>
  <c r="D1139" i="11"/>
  <c r="D1089" i="11"/>
  <c r="D1010" i="11"/>
  <c r="D691" i="11"/>
  <c r="D1202" i="11"/>
  <c r="D988" i="11"/>
  <c r="D763" i="11"/>
  <c r="D978" i="11"/>
  <c r="D542" i="11"/>
  <c r="D938" i="11"/>
  <c r="D1329" i="11"/>
  <c r="D1257" i="11"/>
  <c r="D1186" i="11"/>
  <c r="D1110" i="11"/>
  <c r="D1058" i="11"/>
  <c r="D986" i="11"/>
  <c r="D976" i="11"/>
  <c r="D914" i="11"/>
  <c r="D850" i="11"/>
  <c r="D753" i="11"/>
  <c r="D950" i="11"/>
  <c r="D883" i="11"/>
  <c r="D819" i="11"/>
  <c r="D972" i="11"/>
  <c r="D906" i="11"/>
  <c r="D685" i="11"/>
  <c r="D696" i="11"/>
  <c r="D474" i="11"/>
  <c r="D610" i="11"/>
  <c r="D525" i="11"/>
  <c r="D471" i="11"/>
  <c r="D1076" i="11"/>
  <c r="D1019" i="11"/>
  <c r="D828" i="11"/>
  <c r="D947" i="11"/>
  <c r="D873" i="11"/>
  <c r="D813" i="11"/>
  <c r="D527" i="11"/>
  <c r="D907" i="11"/>
  <c r="D849" i="11"/>
  <c r="D679" i="11"/>
  <c r="D937" i="11"/>
  <c r="D757" i="11"/>
  <c r="D1238" i="11"/>
  <c r="D996" i="11"/>
  <c r="D1313" i="11"/>
  <c r="D1255" i="11"/>
  <c r="D1192" i="11"/>
  <c r="D1128" i="11"/>
  <c r="D1060" i="11"/>
  <c r="D999" i="11"/>
  <c r="D824" i="11"/>
  <c r="D1268" i="11"/>
  <c r="D1195" i="11"/>
  <c r="D1142" i="11"/>
  <c r="D1090" i="11"/>
  <c r="D1013" i="11"/>
  <c r="D767" i="11"/>
  <c r="D1208" i="11"/>
  <c r="D1009" i="11"/>
  <c r="D810" i="11"/>
  <c r="D594" i="11"/>
  <c r="D688" i="11"/>
  <c r="D1003" i="11"/>
  <c r="D1273" i="11"/>
  <c r="D1015" i="11"/>
  <c r="D1342" i="11"/>
  <c r="D1102" i="11"/>
  <c r="D1368" i="11"/>
  <c r="D1360" i="11"/>
  <c r="D1144" i="11"/>
  <c r="D611" i="11"/>
  <c r="D1295" i="11"/>
  <c r="D1233" i="11"/>
  <c r="D1163" i="11"/>
  <c r="D1112" i="11"/>
  <c r="D1042" i="11"/>
  <c r="D975" i="11"/>
  <c r="D1322" i="11"/>
  <c r="D1242" i="11"/>
  <c r="D1173" i="11"/>
  <c r="D1123" i="11"/>
  <c r="D1059" i="11"/>
  <c r="D994" i="11"/>
  <c r="D1307" i="11"/>
  <c r="D1167" i="11"/>
  <c r="D980" i="11"/>
  <c r="D953" i="11"/>
  <c r="D915" i="11"/>
  <c r="D625" i="11"/>
  <c r="D895" i="11"/>
  <c r="D1310" i="11"/>
  <c r="D1232" i="11"/>
  <c r="D1170" i="11"/>
  <c r="D1095" i="11"/>
  <c r="D1037" i="11"/>
  <c r="D936" i="11"/>
  <c r="D965" i="11"/>
  <c r="D900" i="11"/>
  <c r="D836" i="11"/>
  <c r="D681" i="11"/>
  <c r="D930" i="11"/>
  <c r="D864" i="11"/>
  <c r="D752" i="11"/>
  <c r="D952" i="11"/>
  <c r="D875" i="11"/>
  <c r="D792" i="11"/>
  <c r="D785" i="11"/>
  <c r="D742" i="11"/>
  <c r="D533" i="11"/>
  <c r="D660" i="11"/>
  <c r="D1126" i="11"/>
  <c r="D1066" i="11"/>
  <c r="D997" i="11"/>
  <c r="D645" i="11"/>
  <c r="D931" i="11"/>
  <c r="D862" i="11"/>
  <c r="D802" i="11"/>
  <c r="D956" i="11"/>
  <c r="D891" i="11"/>
  <c r="D830" i="11"/>
  <c r="D479" i="11"/>
  <c r="D896" i="11"/>
  <c r="D668" i="11"/>
  <c r="D708" i="11"/>
  <c r="D921" i="11"/>
  <c r="D671" i="11"/>
  <c r="D626" i="11"/>
  <c r="D585" i="11"/>
  <c r="D424" i="11"/>
  <c r="D1210" i="11"/>
  <c r="D584" i="11"/>
  <c r="D1134" i="11"/>
  <c r="D916" i="11"/>
  <c r="D1012" i="11"/>
  <c r="D633" i="11"/>
  <c r="D1296" i="11"/>
  <c r="D811" i="11"/>
  <c r="D940" i="11"/>
  <c r="D793" i="11"/>
  <c r="D511" i="11"/>
  <c r="D800" i="11"/>
  <c r="D1074" i="11"/>
  <c r="D872" i="11"/>
  <c r="D786" i="11"/>
  <c r="D769" i="11"/>
  <c r="D713" i="11"/>
  <c r="D514" i="11"/>
  <c r="D648" i="11"/>
  <c r="D968" i="11"/>
  <c r="D1334" i="11"/>
  <c r="D1272" i="11"/>
  <c r="D1194" i="11"/>
  <c r="D1118" i="11"/>
  <c r="D1064" i="11"/>
  <c r="D993" i="11"/>
  <c r="D984" i="11"/>
  <c r="D924" i="11"/>
  <c r="D859" i="11"/>
  <c r="D1317" i="11"/>
  <c r="D1251" i="11"/>
  <c r="D1180" i="11"/>
  <c r="D1103" i="11"/>
  <c r="D1047" i="11"/>
  <c r="D977" i="11"/>
  <c r="D971" i="11"/>
  <c r="D908" i="11"/>
  <c r="D844" i="11"/>
  <c r="D796" i="11"/>
  <c r="D732" i="11"/>
  <c r="D643" i="11"/>
  <c r="D653" i="11"/>
  <c r="D561" i="11"/>
  <c r="D523" i="11"/>
  <c r="D853" i="11"/>
  <c r="D1305" i="11"/>
  <c r="D1225" i="11"/>
  <c r="D1160" i="11"/>
  <c r="D1087" i="11"/>
  <c r="D1027" i="11"/>
  <c r="D904" i="11"/>
  <c r="D957" i="11"/>
  <c r="D885" i="11"/>
  <c r="D822" i="11"/>
  <c r="D812" i="11"/>
  <c r="D729" i="11"/>
  <c r="D923" i="11"/>
  <c r="D943" i="11"/>
  <c r="D876" i="11"/>
  <c r="D640" i="11"/>
  <c r="D448" i="11"/>
  <c r="D434" i="11"/>
  <c r="D423" i="11"/>
  <c r="D408" i="11"/>
  <c r="D441" i="11"/>
  <c r="D437" i="11"/>
  <c r="D422" i="11"/>
  <c r="D447" i="11"/>
  <c r="D407" i="11"/>
  <c r="D416" i="11"/>
  <c r="D466" i="11"/>
  <c r="D442" i="11"/>
  <c r="D413" i="11"/>
  <c r="D436" i="11"/>
  <c r="D496" i="11"/>
  <c r="D559" i="11"/>
  <c r="D615" i="11"/>
  <c r="D485" i="11"/>
  <c r="D538" i="11"/>
  <c r="D604" i="11"/>
  <c r="D492" i="11"/>
  <c r="D562" i="11"/>
  <c r="D628" i="11"/>
  <c r="D509" i="11"/>
  <c r="D682" i="11"/>
  <c r="D768" i="11"/>
  <c r="D552" i="11"/>
  <c r="D690" i="11"/>
  <c r="D747" i="11"/>
  <c r="D575" i="11"/>
  <c r="D715" i="11"/>
  <c r="D762" i="11"/>
  <c r="D678" i="11"/>
  <c r="D834" i="11"/>
  <c r="D901" i="11"/>
  <c r="D518" i="11"/>
  <c r="D578" i="11"/>
  <c r="D636" i="11"/>
  <c r="D500" i="11"/>
  <c r="D554" i="11"/>
  <c r="D624" i="11"/>
  <c r="D506" i="11"/>
  <c r="D579" i="11"/>
  <c r="D646" i="11"/>
  <c r="D596" i="11"/>
  <c r="D707" i="11"/>
  <c r="D787" i="11"/>
  <c r="D629" i="11"/>
  <c r="D701" i="11"/>
  <c r="D761" i="11"/>
  <c r="D644" i="11"/>
  <c r="D727" i="11"/>
  <c r="D510" i="11"/>
  <c r="D564" i="11"/>
  <c r="D620" i="11"/>
  <c r="D491" i="11"/>
  <c r="D545" i="11"/>
  <c r="D612" i="11"/>
  <c r="D499" i="11"/>
  <c r="D571" i="11"/>
  <c r="D634" i="11"/>
  <c r="D531" i="11"/>
  <c r="D694" i="11"/>
  <c r="D774" i="11"/>
  <c r="D572" i="11"/>
  <c r="D695" i="11"/>
  <c r="D754" i="11"/>
  <c r="D609" i="11"/>
  <c r="D720" i="11"/>
  <c r="D773" i="11"/>
  <c r="D736" i="11"/>
  <c r="D842" i="11"/>
  <c r="D912" i="11"/>
  <c r="D494" i="11"/>
  <c r="D574" i="11"/>
  <c r="D778" i="11"/>
  <c r="D619" i="11"/>
  <c r="D586" i="11"/>
  <c r="D890" i="11"/>
  <c r="D959" i="11"/>
  <c r="D805" i="11"/>
  <c r="D458" i="11"/>
  <c r="D399" i="11"/>
  <c r="D419" i="11"/>
  <c r="D445" i="11"/>
  <c r="D414" i="11"/>
  <c r="D455" i="11"/>
  <c r="D427" i="11"/>
  <c r="D438" i="11"/>
  <c r="D403" i="11"/>
  <c r="D433" i="11"/>
  <c r="D401" i="11"/>
  <c r="D411" i="11"/>
  <c r="D412" i="11"/>
  <c r="D432" i="11"/>
  <c r="D453" i="11"/>
  <c r="D516" i="11"/>
  <c r="D573" i="11"/>
  <c r="D630" i="11"/>
  <c r="D497" i="11"/>
  <c r="D551" i="11"/>
  <c r="D621" i="11"/>
  <c r="D502" i="11"/>
  <c r="D577" i="11"/>
  <c r="D641" i="11"/>
  <c r="D570" i="11"/>
  <c r="D704" i="11"/>
  <c r="D783" i="11"/>
  <c r="D589" i="11"/>
  <c r="D700" i="11"/>
  <c r="D760" i="11"/>
  <c r="D632" i="11"/>
  <c r="D724" i="11"/>
  <c r="D780" i="11"/>
  <c r="D770" i="11"/>
  <c r="D851" i="11"/>
  <c r="D464" i="11"/>
  <c r="D528" i="11"/>
  <c r="D588" i="11"/>
  <c r="D652" i="11"/>
  <c r="D517" i="11"/>
  <c r="D567" i="11"/>
  <c r="D461" i="11"/>
  <c r="D526" i="11"/>
  <c r="D605" i="11"/>
  <c r="D658" i="11"/>
  <c r="D642" i="11"/>
  <c r="D721" i="11"/>
  <c r="D799" i="11"/>
  <c r="D657" i="11"/>
  <c r="D719" i="11"/>
  <c r="D775" i="11"/>
  <c r="D680" i="11"/>
  <c r="D405" i="11"/>
  <c r="D521" i="11"/>
  <c r="D582" i="11"/>
  <c r="D639" i="11"/>
  <c r="D505" i="11"/>
  <c r="D556" i="11"/>
  <c r="D627" i="11"/>
  <c r="D508" i="11"/>
  <c r="D580" i="11"/>
  <c r="D651" i="11"/>
  <c r="D614" i="11"/>
  <c r="D711" i="11"/>
  <c r="D791" i="11"/>
  <c r="D637" i="11"/>
  <c r="D705" i="11"/>
  <c r="D765" i="11"/>
  <c r="D664" i="11"/>
  <c r="D728" i="11"/>
  <c r="D784" i="11"/>
  <c r="D790" i="11"/>
  <c r="D863" i="11"/>
  <c r="D512" i="11"/>
  <c r="D548" i="11"/>
  <c r="D638" i="11"/>
  <c r="D581" i="11"/>
  <c r="D723" i="11"/>
  <c r="D782" i="11"/>
  <c r="D917" i="11"/>
  <c r="D982" i="11"/>
  <c r="D826" i="11"/>
  <c r="D888" i="11"/>
  <c r="D954" i="11"/>
  <c r="D777" i="11"/>
  <c r="D398" i="11"/>
  <c r="D402" i="11"/>
  <c r="D425" i="11"/>
  <c r="D446" i="11"/>
  <c r="D421" i="11"/>
  <c r="D430" i="11"/>
  <c r="D435" i="11"/>
  <c r="D456" i="11"/>
  <c r="D409" i="11"/>
  <c r="D429" i="11"/>
  <c r="D449" i="11"/>
  <c r="D439" i="11"/>
  <c r="D410" i="11"/>
  <c r="D431" i="11"/>
  <c r="D454" i="11"/>
  <c r="D460" i="11"/>
  <c r="D524" i="11"/>
  <c r="D587" i="11"/>
  <c r="D650" i="11"/>
  <c r="D513" i="11"/>
  <c r="D565" i="11"/>
  <c r="D452" i="11"/>
  <c r="D522" i="11"/>
  <c r="D598" i="11"/>
  <c r="D655" i="11"/>
  <c r="D635" i="11"/>
  <c r="D718" i="11"/>
  <c r="D797" i="11"/>
  <c r="D649" i="11"/>
  <c r="D714" i="11"/>
  <c r="D772" i="11"/>
  <c r="D673" i="11"/>
  <c r="D735" i="11"/>
  <c r="D789" i="11"/>
  <c r="D801" i="11"/>
  <c r="D870" i="11"/>
  <c r="D478" i="11"/>
  <c r="D544" i="11"/>
  <c r="D599" i="11"/>
  <c r="D465" i="11"/>
  <c r="D532" i="11"/>
  <c r="D595" i="11"/>
  <c r="D481" i="11"/>
  <c r="D549" i="11"/>
  <c r="D616" i="11"/>
  <c r="D472" i="11"/>
  <c r="D666" i="11"/>
  <c r="D749" i="11"/>
  <c r="D495" i="11"/>
  <c r="D683" i="11"/>
  <c r="D734" i="11"/>
  <c r="D477" i="11"/>
  <c r="D706" i="11"/>
  <c r="D469" i="11"/>
  <c r="D536" i="11"/>
  <c r="D590" i="11"/>
  <c r="D654" i="11"/>
  <c r="D519" i="11"/>
  <c r="D576" i="11"/>
  <c r="D467" i="11"/>
  <c r="D530" i="11"/>
  <c r="D608" i="11"/>
  <c r="D661" i="11"/>
  <c r="D647" i="11"/>
  <c r="D730" i="11"/>
  <c r="D463" i="11"/>
  <c r="D667" i="11"/>
  <c r="D722" i="11"/>
  <c r="D779" i="11"/>
  <c r="D684" i="11"/>
  <c r="D740" i="11"/>
  <c r="D795" i="11"/>
  <c r="D808" i="11"/>
  <c r="D878" i="11"/>
  <c r="D566" i="11"/>
  <c r="D618" i="11"/>
  <c r="D550" i="11"/>
  <c r="D698" i="11"/>
  <c r="D751" i="11"/>
  <c r="D825" i="11"/>
  <c r="D933" i="11"/>
  <c r="D665" i="11"/>
  <c r="D843" i="11"/>
  <c r="D902" i="11"/>
  <c r="D489" i="11"/>
  <c r="D457" i="11"/>
  <c r="D418" i="11"/>
  <c r="D444" i="11"/>
  <c r="D404" i="11"/>
  <c r="D462" i="11"/>
  <c r="D415" i="11"/>
  <c r="D420" i="11"/>
  <c r="D406" i="11"/>
  <c r="D428" i="11"/>
  <c r="D450" i="11"/>
  <c r="D397" i="11"/>
  <c r="D443" i="11"/>
  <c r="D426" i="11"/>
  <c r="D451" i="11"/>
  <c r="D417" i="11"/>
  <c r="D475" i="11"/>
  <c r="D543" i="11"/>
  <c r="D597" i="11"/>
  <c r="D440" i="11"/>
  <c r="D529" i="11"/>
  <c r="D591" i="11"/>
  <c r="D476" i="11"/>
  <c r="D541" i="11"/>
  <c r="D613" i="11"/>
  <c r="D459" i="11"/>
  <c r="D659" i="11"/>
  <c r="D746" i="11"/>
  <c r="D484" i="11"/>
  <c r="D676" i="11"/>
  <c r="D731" i="11"/>
  <c r="D468" i="11"/>
  <c r="D702" i="11"/>
  <c r="D748" i="11"/>
  <c r="D546" i="11"/>
  <c r="D818" i="11"/>
  <c r="D887" i="11"/>
  <c r="D504" i="11"/>
  <c r="D560" i="11"/>
  <c r="D617" i="11"/>
  <c r="D487" i="11"/>
  <c r="D540" i="11"/>
  <c r="D607" i="11"/>
  <c r="D498" i="11"/>
  <c r="D568" i="11"/>
  <c r="D631" i="11"/>
  <c r="D520" i="11"/>
  <c r="D692" i="11"/>
  <c r="D771" i="11"/>
  <c r="D563" i="11"/>
  <c r="D693" i="11"/>
  <c r="D750" i="11"/>
  <c r="D592" i="11"/>
  <c r="D716" i="11"/>
  <c r="D480" i="11"/>
  <c r="D547" i="11"/>
  <c r="D602" i="11"/>
  <c r="D470" i="11"/>
  <c r="D535" i="11"/>
  <c r="D600" i="11"/>
  <c r="D486" i="11"/>
  <c r="D555" i="11"/>
  <c r="D622" i="11"/>
  <c r="D482" i="11"/>
  <c r="D672" i="11"/>
  <c r="D759" i="11"/>
  <c r="D534" i="11"/>
  <c r="D686" i="11"/>
  <c r="D739" i="11"/>
  <c r="D503" i="11"/>
  <c r="D709" i="11"/>
  <c r="D755" i="11"/>
  <c r="D663" i="11"/>
  <c r="D829" i="11"/>
  <c r="D893" i="11"/>
  <c r="D623" i="11"/>
  <c r="D501" i="11"/>
  <c r="D699" i="11"/>
  <c r="D756" i="11"/>
  <c r="D781" i="11"/>
  <c r="D854" i="11"/>
  <c r="D945" i="11"/>
  <c r="D703" i="11"/>
  <c r="B29" i="32"/>
  <c r="D376" i="11" l="1"/>
  <c r="H62" i="11"/>
  <c r="H60" i="11"/>
  <c r="H196" i="11"/>
  <c r="I63" i="11" l="1"/>
  <c r="H65" i="11" s="1"/>
  <c r="F388" i="11"/>
  <c r="C250" i="39" l="1"/>
  <c r="C248" i="39"/>
  <c r="B103" i="39"/>
  <c r="B11" i="39"/>
  <c r="C233" i="39"/>
  <c r="C232" i="39"/>
  <c r="C231" i="39"/>
  <c r="C228" i="39"/>
  <c r="C225" i="39"/>
  <c r="B133" i="39"/>
  <c r="B128" i="39"/>
  <c r="B127" i="39"/>
  <c r="B126" i="39"/>
  <c r="B124" i="39"/>
  <c r="C107" i="39"/>
  <c r="D106" i="39"/>
  <c r="C100" i="39"/>
  <c r="C96" i="39"/>
  <c r="C95" i="39"/>
  <c r="B70" i="39"/>
  <c r="K35" i="11"/>
  <c r="B69" i="39"/>
  <c r="C23" i="39"/>
  <c r="I177" i="11" s="1"/>
  <c r="D16" i="39"/>
  <c r="C6" i="39"/>
  <c r="C3" i="39"/>
  <c r="D106" i="21"/>
  <c r="B103" i="21"/>
  <c r="C233" i="21"/>
  <c r="G139" i="11" s="1"/>
  <c r="C232" i="21"/>
  <c r="G140" i="11" s="1"/>
  <c r="C231" i="21"/>
  <c r="C228" i="21"/>
  <c r="B133" i="21"/>
  <c r="G141" i="11" l="1"/>
  <c r="G142" i="11" s="1"/>
  <c r="B128" i="21"/>
  <c r="B127" i="21"/>
  <c r="B126" i="21"/>
  <c r="B124" i="21"/>
  <c r="B70" i="21"/>
  <c r="B69" i="21"/>
  <c r="D16" i="21"/>
  <c r="F76" i="21"/>
  <c r="G76" i="21"/>
  <c r="C249" i="39"/>
  <c r="C51" i="30"/>
  <c r="L163" i="15"/>
  <c r="B16" i="32" l="1"/>
  <c r="F16" i="32"/>
  <c r="E16" i="32"/>
  <c r="H16" i="32" s="1"/>
  <c r="L157" i="15"/>
  <c r="C34" i="30" s="1"/>
  <c r="G17" i="11" l="1"/>
  <c r="H17" i="11"/>
  <c r="H92" i="11" s="1"/>
  <c r="H93" i="11" s="1"/>
  <c r="I17" i="11"/>
  <c r="G93" i="11"/>
  <c r="G174" i="11"/>
  <c r="G104" i="11"/>
  <c r="G94" i="11"/>
  <c r="G122" i="11"/>
  <c r="G106" i="11"/>
  <c r="G120" i="11"/>
  <c r="G105" i="11"/>
  <c r="G126" i="11"/>
  <c r="G128" i="11" s="1"/>
  <c r="G121" i="11"/>
  <c r="G72" i="11"/>
  <c r="G132" i="11"/>
  <c r="G167" i="11"/>
  <c r="G168" i="11" s="1"/>
  <c r="G111" i="11" s="1"/>
  <c r="G123" i="11" s="1"/>
  <c r="F17" i="11"/>
  <c r="F92" i="11" s="1"/>
  <c r="F93" i="11" s="1"/>
  <c r="I174" i="11" l="1"/>
  <c r="I92" i="11"/>
  <c r="I120" i="11"/>
  <c r="I121" i="11" s="1"/>
  <c r="I124" i="11" s="1"/>
  <c r="I104" i="11"/>
  <c r="I106" i="11" s="1"/>
  <c r="I94" i="11"/>
  <c r="I95" i="11" s="1"/>
  <c r="I96" i="11"/>
  <c r="I126" i="11"/>
  <c r="I128" i="11" s="1"/>
  <c r="I107" i="11"/>
  <c r="I72" i="11"/>
  <c r="I167" i="11"/>
  <c r="I168" i="11"/>
  <c r="I111" i="11" s="1"/>
  <c r="E72" i="32" s="1"/>
  <c r="I132" i="11"/>
  <c r="I131" i="11"/>
  <c r="I123" i="11"/>
  <c r="H120" i="11"/>
  <c r="H121" i="11" s="1"/>
  <c r="H174" i="11"/>
  <c r="H104" i="11"/>
  <c r="H105" i="11" s="1"/>
  <c r="H94" i="11"/>
  <c r="H96" i="11" s="1"/>
  <c r="H107" i="11"/>
  <c r="H167" i="11"/>
  <c r="H168" i="11"/>
  <c r="H111" i="11" s="1"/>
  <c r="H72" i="11"/>
  <c r="H122" i="11"/>
  <c r="H123" i="11"/>
  <c r="H131" i="11"/>
  <c r="F132" i="11"/>
  <c r="F167" i="11"/>
  <c r="F72" i="11"/>
  <c r="F174" i="11"/>
  <c r="F120" i="11"/>
  <c r="F121" i="11" s="1"/>
  <c r="F104" i="11"/>
  <c r="F105" i="11" s="1"/>
  <c r="F126" i="11"/>
  <c r="F128" i="11" s="1"/>
  <c r="G95" i="11"/>
  <c r="G131" i="11"/>
  <c r="F94" i="11"/>
  <c r="G108" i="11"/>
  <c r="G109" i="11"/>
  <c r="D366" i="11"/>
  <c r="I108" i="11"/>
  <c r="I109" i="11"/>
  <c r="J109" i="11"/>
  <c r="J108" i="11"/>
  <c r="C239" i="11"/>
  <c r="C366" i="11"/>
  <c r="K109" i="11"/>
  <c r="K108" i="11"/>
  <c r="H108" i="11"/>
  <c r="H109" i="11"/>
  <c r="C6" i="24"/>
  <c r="C3" i="24"/>
  <c r="C6" i="30"/>
  <c r="C3" i="30"/>
  <c r="C6" i="31"/>
  <c r="C3" i="31"/>
  <c r="C6" i="32"/>
  <c r="C3" i="32"/>
  <c r="C6" i="21"/>
  <c r="C3" i="21"/>
  <c r="C6" i="35"/>
  <c r="C3" i="35"/>
  <c r="C6" i="11"/>
  <c r="C3" i="11"/>
  <c r="C6" i="36"/>
  <c r="C3" i="36"/>
  <c r="C6" i="29"/>
  <c r="C3" i="29"/>
  <c r="C6" i="15"/>
  <c r="C3" i="15"/>
  <c r="C8" i="25"/>
  <c r="C8" i="40" s="1"/>
  <c r="C7" i="25"/>
  <c r="C7" i="40" s="1"/>
  <c r="C6" i="25"/>
  <c r="C5" i="25"/>
  <c r="C4" i="25"/>
  <c r="I93" i="11" l="1"/>
  <c r="E73" i="32"/>
  <c r="C4" i="40"/>
  <c r="C4" i="39"/>
  <c r="C5" i="40"/>
  <c r="C5" i="39"/>
  <c r="I105" i="11"/>
  <c r="H95" i="11"/>
  <c r="H106" i="11"/>
  <c r="H124" i="11"/>
  <c r="H73" i="11"/>
  <c r="H74" i="11" s="1"/>
  <c r="C391" i="11"/>
  <c r="C392" i="11" s="1"/>
  <c r="C393" i="11"/>
  <c r="C394" i="11" s="1"/>
  <c r="F131" i="11"/>
  <c r="F95" i="11"/>
  <c r="D73" i="32"/>
  <c r="F106" i="11"/>
  <c r="C389" i="11"/>
  <c r="C390" i="11" s="1"/>
  <c r="C382" i="11"/>
  <c r="C380" i="11"/>
  <c r="C381" i="11" s="1"/>
  <c r="C384" i="11"/>
  <c r="C8" i="39"/>
  <c r="C7" i="15"/>
  <c r="C7" i="39"/>
  <c r="C5" i="32"/>
  <c r="C4" i="29"/>
  <c r="C8" i="36"/>
  <c r="C8" i="15"/>
  <c r="C8" i="29"/>
  <c r="C8" i="30"/>
  <c r="C8" i="31"/>
  <c r="C8" i="11"/>
  <c r="C8" i="21"/>
  <c r="C8" i="32"/>
  <c r="C8" i="35"/>
  <c r="C5" i="11"/>
  <c r="C5" i="35"/>
  <c r="C5" i="15"/>
  <c r="C4" i="24"/>
  <c r="C4" i="15"/>
  <c r="C4" i="35"/>
  <c r="C4" i="31"/>
  <c r="C4" i="30"/>
  <c r="C5" i="31"/>
  <c r="C5" i="29"/>
  <c r="C4" i="36"/>
  <c r="C4" i="21"/>
  <c r="C5" i="30"/>
  <c r="C5" i="24"/>
  <c r="C5" i="36"/>
  <c r="C4" i="11"/>
  <c r="C5" i="21"/>
  <c r="C4" i="32"/>
  <c r="C7" i="24"/>
  <c r="C7" i="30"/>
  <c r="C7" i="31"/>
  <c r="C7" i="32"/>
  <c r="C7" i="21"/>
  <c r="C7" i="35"/>
  <c r="C7" i="11"/>
  <c r="C7" i="29"/>
  <c r="C7" i="36"/>
  <c r="E71" i="32" l="1"/>
  <c r="I122" i="11"/>
  <c r="F96" i="11"/>
  <c r="F107" i="11" s="1"/>
  <c r="D71" i="32"/>
  <c r="C16" i="21"/>
  <c r="C96" i="21"/>
  <c r="C25" i="32"/>
  <c r="C27" i="32" s="1"/>
  <c r="C100" i="21"/>
  <c r="G47" i="11" s="1"/>
  <c r="G49" i="11" s="1"/>
  <c r="C225" i="21"/>
  <c r="C95" i="21"/>
  <c r="D15" i="29"/>
  <c r="G26" i="30" s="1"/>
  <c r="D25" i="32"/>
  <c r="D27" i="32" s="1"/>
  <c r="D36" i="32"/>
  <c r="D39" i="32" s="1"/>
  <c r="H29" i="30"/>
  <c r="G29" i="30"/>
  <c r="H28" i="30"/>
  <c r="G28" i="30"/>
  <c r="H27" i="30"/>
  <c r="G27" i="30"/>
  <c r="H26" i="30"/>
  <c r="G50" i="11" l="1"/>
  <c r="G51" i="11" s="1"/>
  <c r="G57" i="11" s="1"/>
  <c r="G58" i="11" s="1"/>
  <c r="C373" i="11"/>
  <c r="D380" i="11" s="1"/>
  <c r="C249" i="11"/>
  <c r="C385" i="11"/>
  <c r="C383" i="11"/>
  <c r="C248" i="11"/>
  <c r="D381" i="11" l="1"/>
  <c r="F13" i="30"/>
  <c r="F380" i="11"/>
  <c r="J110" i="11"/>
  <c r="D373" i="11"/>
  <c r="C256" i="11" l="1"/>
  <c r="E380" i="11"/>
  <c r="G380" i="11" s="1"/>
  <c r="E381" i="11"/>
  <c r="D389" i="11"/>
  <c r="E389" i="11" s="1"/>
  <c r="D391" i="11"/>
  <c r="K110" i="11"/>
  <c r="F112" i="11" l="1"/>
  <c r="H112" i="11"/>
  <c r="G391" i="11"/>
  <c r="I114" i="11" s="1"/>
  <c r="E391" i="11"/>
  <c r="F391" i="11"/>
  <c r="G112" i="11"/>
  <c r="D390" i="11"/>
  <c r="E390" i="11" s="1"/>
  <c r="F389" i="11"/>
  <c r="F381" i="11"/>
  <c r="G381" i="11" s="1"/>
  <c r="H113" i="11" s="1"/>
  <c r="D392" i="11"/>
  <c r="G389" i="11"/>
  <c r="I112" i="11" s="1"/>
  <c r="G392" i="11" l="1"/>
  <c r="I115" i="11" s="1"/>
  <c r="E392" i="11"/>
  <c r="F392" i="11"/>
  <c r="F113" i="11"/>
  <c r="G113" i="11"/>
  <c r="G129" i="11" s="1"/>
  <c r="G130" i="11" s="1"/>
  <c r="C255" i="11"/>
  <c r="F390" i="11"/>
  <c r="G390" i="11" s="1"/>
  <c r="I113" i="11" s="1"/>
  <c r="C254" i="11"/>
  <c r="H110" i="11"/>
  <c r="I110" i="11"/>
  <c r="O261" i="11" l="1"/>
  <c r="I261" i="11" s="1"/>
  <c r="L261" i="11" s="1"/>
  <c r="I129" i="11"/>
  <c r="I130" i="11" s="1"/>
  <c r="O360" i="11"/>
  <c r="I360" i="11" s="1"/>
  <c r="O328" i="11"/>
  <c r="I328" i="11" s="1"/>
  <c r="O296" i="11"/>
  <c r="I296" i="11" s="1"/>
  <c r="O264" i="11"/>
  <c r="I264" i="11" s="1"/>
  <c r="N344" i="11"/>
  <c r="O337" i="11"/>
  <c r="I337" i="11" s="1"/>
  <c r="O305" i="11"/>
  <c r="I305" i="11" s="1"/>
  <c r="O273" i="11"/>
  <c r="I273" i="11" s="1"/>
  <c r="N349" i="11"/>
  <c r="N317" i="11"/>
  <c r="N285" i="11"/>
  <c r="N302" i="11"/>
  <c r="O330" i="11"/>
  <c r="I330" i="11" s="1"/>
  <c r="O298" i="11"/>
  <c r="I298" i="11" s="1"/>
  <c r="O266" i="11"/>
  <c r="I266" i="11" s="1"/>
  <c r="N338" i="11"/>
  <c r="O359" i="11"/>
  <c r="I359" i="11" s="1"/>
  <c r="N327" i="11"/>
  <c r="O319" i="11"/>
  <c r="I319" i="11" s="1"/>
  <c r="N296" i="11"/>
  <c r="N347" i="11"/>
  <c r="N263" i="11"/>
  <c r="N274" i="11"/>
  <c r="N335" i="11"/>
  <c r="O315" i="11"/>
  <c r="I315" i="11" s="1"/>
  <c r="O356" i="11"/>
  <c r="I356" i="11" s="1"/>
  <c r="O324" i="11"/>
  <c r="I324" i="11" s="1"/>
  <c r="O292" i="11"/>
  <c r="I292" i="11" s="1"/>
  <c r="N332" i="11"/>
  <c r="N340" i="11"/>
  <c r="O333" i="11"/>
  <c r="I333" i="11" s="1"/>
  <c r="O301" i="11"/>
  <c r="I301" i="11" s="1"/>
  <c r="O269" i="11"/>
  <c r="I269" i="11" s="1"/>
  <c r="N345" i="11"/>
  <c r="N313" i="11"/>
  <c r="N281" i="11"/>
  <c r="O358" i="11"/>
  <c r="I358" i="11" s="1"/>
  <c r="O326" i="11"/>
  <c r="I326" i="11" s="1"/>
  <c r="O294" i="11"/>
  <c r="I294" i="11" s="1"/>
  <c r="O262" i="11"/>
  <c r="I262" i="11" s="1"/>
  <c r="N334" i="11"/>
  <c r="O343" i="11"/>
  <c r="I343" i="11" s="1"/>
  <c r="N307" i="11"/>
  <c r="N287" i="11"/>
  <c r="N283" i="11"/>
  <c r="N331" i="11"/>
  <c r="O351" i="11"/>
  <c r="I351" i="11" s="1"/>
  <c r="N266" i="11"/>
  <c r="N316" i="11"/>
  <c r="N312" i="11"/>
  <c r="O352" i="11"/>
  <c r="I352" i="11" s="1"/>
  <c r="O320" i="11"/>
  <c r="I320" i="11" s="1"/>
  <c r="O288" i="11"/>
  <c r="I288" i="11" s="1"/>
  <c r="N328" i="11"/>
  <c r="N336" i="11"/>
  <c r="O329" i="11"/>
  <c r="I329" i="11" s="1"/>
  <c r="O297" i="11"/>
  <c r="I297" i="11" s="1"/>
  <c r="O265" i="11"/>
  <c r="I265" i="11" s="1"/>
  <c r="N341" i="11"/>
  <c r="N309" i="11"/>
  <c r="N277" i="11"/>
  <c r="O354" i="11"/>
  <c r="I354" i="11" s="1"/>
  <c r="O322" i="11"/>
  <c r="I322" i="11" s="1"/>
  <c r="O290" i="11"/>
  <c r="I290" i="11" s="1"/>
  <c r="N298" i="11"/>
  <c r="N330" i="11"/>
  <c r="O327" i="11"/>
  <c r="I327" i="11" s="1"/>
  <c r="O303" i="11"/>
  <c r="I303" i="11" s="1"/>
  <c r="N315" i="11"/>
  <c r="N275" i="11"/>
  <c r="N299" i="11"/>
  <c r="O335" i="11"/>
  <c r="I335" i="11" s="1"/>
  <c r="O287" i="11"/>
  <c r="I287" i="11" s="1"/>
  <c r="O311" i="11"/>
  <c r="I311" i="11" s="1"/>
  <c r="N271" i="11"/>
  <c r="O348" i="11"/>
  <c r="I348" i="11" s="1"/>
  <c r="O316" i="11"/>
  <c r="I316" i="11" s="1"/>
  <c r="O284" i="11"/>
  <c r="I284" i="11" s="1"/>
  <c r="N324" i="11"/>
  <c r="O357" i="11"/>
  <c r="I357" i="11" s="1"/>
  <c r="O325" i="11"/>
  <c r="I325" i="11" s="1"/>
  <c r="O293" i="11"/>
  <c r="I293" i="11" s="1"/>
  <c r="N337" i="11"/>
  <c r="N305" i="11"/>
  <c r="N273" i="11"/>
  <c r="O350" i="11"/>
  <c r="I350" i="11" s="1"/>
  <c r="O318" i="11"/>
  <c r="I318" i="11" s="1"/>
  <c r="O286" i="11"/>
  <c r="I286" i="11" s="1"/>
  <c r="N358" i="11"/>
  <c r="N326" i="11"/>
  <c r="N311" i="11"/>
  <c r="N300" i="11"/>
  <c r="N268" i="11"/>
  <c r="N267" i="11"/>
  <c r="O295" i="11"/>
  <c r="I295" i="11" s="1"/>
  <c r="N320" i="11"/>
  <c r="O263" i="11"/>
  <c r="I263" i="11" s="1"/>
  <c r="N270" i="11"/>
  <c r="N308" i="11"/>
  <c r="O323" i="11"/>
  <c r="I323" i="11" s="1"/>
  <c r="N319" i="11"/>
  <c r="O344" i="11"/>
  <c r="I344" i="11" s="1"/>
  <c r="O312" i="11"/>
  <c r="I312" i="11" s="1"/>
  <c r="O280" i="11"/>
  <c r="I280" i="11" s="1"/>
  <c r="N360" i="11"/>
  <c r="O353" i="11"/>
  <c r="I353" i="11" s="1"/>
  <c r="O321" i="11"/>
  <c r="I321" i="11" s="1"/>
  <c r="O289" i="11"/>
  <c r="I289" i="11" s="1"/>
  <c r="N294" i="11"/>
  <c r="N333" i="11"/>
  <c r="N301" i="11"/>
  <c r="N269" i="11"/>
  <c r="O346" i="11"/>
  <c r="I346" i="11" s="1"/>
  <c r="O314" i="11"/>
  <c r="I314" i="11" s="1"/>
  <c r="O282" i="11"/>
  <c r="I282" i="11" s="1"/>
  <c r="N354" i="11"/>
  <c r="N322" i="11"/>
  <c r="O307" i="11"/>
  <c r="I307" i="11" s="1"/>
  <c r="O283" i="11"/>
  <c r="I283" i="11" s="1"/>
  <c r="O347" i="11"/>
  <c r="I347" i="11" s="1"/>
  <c r="N264" i="11"/>
  <c r="N292" i="11"/>
  <c r="N295" i="11"/>
  <c r="N284" i="11"/>
  <c r="O355" i="11"/>
  <c r="I355" i="11" s="1"/>
  <c r="N276" i="11"/>
  <c r="O338" i="11"/>
  <c r="I338" i="11" s="1"/>
  <c r="N310" i="11"/>
  <c r="O267" i="11"/>
  <c r="I267" i="11" s="1"/>
  <c r="N279" i="11"/>
  <c r="N278" i="11"/>
  <c r="N339" i="11"/>
  <c r="O340" i="11"/>
  <c r="I340" i="11" s="1"/>
  <c r="O308" i="11"/>
  <c r="I308" i="11" s="1"/>
  <c r="O276" i="11"/>
  <c r="I276" i="11" s="1"/>
  <c r="N356" i="11"/>
  <c r="O349" i="11"/>
  <c r="I349" i="11" s="1"/>
  <c r="O317" i="11"/>
  <c r="I317" i="11" s="1"/>
  <c r="O285" i="11"/>
  <c r="I285" i="11" s="1"/>
  <c r="N290" i="11"/>
  <c r="N329" i="11"/>
  <c r="N297" i="11"/>
  <c r="N265" i="11"/>
  <c r="O342" i="11"/>
  <c r="I342" i="11" s="1"/>
  <c r="O310" i="11"/>
  <c r="I310" i="11" s="1"/>
  <c r="O278" i="11"/>
  <c r="I278" i="11" s="1"/>
  <c r="N350" i="11"/>
  <c r="N318" i="11"/>
  <c r="N304" i="11"/>
  <c r="O275" i="11"/>
  <c r="I275" i="11" s="1"/>
  <c r="O331" i="11"/>
  <c r="I331" i="11" s="1"/>
  <c r="O271" i="11"/>
  <c r="I271" i="11" s="1"/>
  <c r="N280" i="11"/>
  <c r="O291" i="11"/>
  <c r="I291" i="11" s="1"/>
  <c r="N286" i="11"/>
  <c r="O339" i="11"/>
  <c r="I339" i="11" s="1"/>
  <c r="N355" i="11"/>
  <c r="O274" i="11"/>
  <c r="I274" i="11" s="1"/>
  <c r="N291" i="11"/>
  <c r="O336" i="11"/>
  <c r="I336" i="11" s="1"/>
  <c r="O304" i="11"/>
  <c r="I304" i="11" s="1"/>
  <c r="O272" i="11"/>
  <c r="I272" i="11" s="1"/>
  <c r="N352" i="11"/>
  <c r="O345" i="11"/>
  <c r="I345" i="11" s="1"/>
  <c r="O313" i="11"/>
  <c r="I313" i="11" s="1"/>
  <c r="O281" i="11"/>
  <c r="I281" i="11" s="1"/>
  <c r="N357" i="11"/>
  <c r="N325" i="11"/>
  <c r="N293" i="11"/>
  <c r="N261" i="11"/>
  <c r="O306" i="11"/>
  <c r="I306" i="11" s="1"/>
  <c r="N346" i="11"/>
  <c r="N359" i="11"/>
  <c r="N303" i="11"/>
  <c r="N288" i="11"/>
  <c r="N323" i="11"/>
  <c r="O332" i="11"/>
  <c r="I332" i="11" s="1"/>
  <c r="O300" i="11"/>
  <c r="I300" i="11" s="1"/>
  <c r="O268" i="11"/>
  <c r="I268" i="11" s="1"/>
  <c r="N348" i="11"/>
  <c r="O341" i="11"/>
  <c r="I341" i="11" s="1"/>
  <c r="O309" i="11"/>
  <c r="I309" i="11" s="1"/>
  <c r="O277" i="11"/>
  <c r="I277" i="11" s="1"/>
  <c r="N353" i="11"/>
  <c r="N321" i="11"/>
  <c r="N289" i="11"/>
  <c r="N314" i="11"/>
  <c r="O334" i="11"/>
  <c r="I334" i="11" s="1"/>
  <c r="O302" i="11"/>
  <c r="I302" i="11" s="1"/>
  <c r="O270" i="11"/>
  <c r="I270" i="11" s="1"/>
  <c r="N342" i="11"/>
  <c r="N306" i="11"/>
  <c r="N343" i="11"/>
  <c r="N272" i="11"/>
  <c r="O299" i="11"/>
  <c r="I299" i="11" s="1"/>
  <c r="N262" i="11"/>
  <c r="O279" i="11"/>
  <c r="I279" i="11" s="1"/>
  <c r="N282" i="11"/>
  <c r="N351" i="11"/>
  <c r="C247" i="11"/>
  <c r="E261" i="11" s="1"/>
  <c r="G110" i="11"/>
  <c r="C246" i="11"/>
  <c r="J261" i="11" l="1"/>
  <c r="K261" i="11"/>
  <c r="F261" i="11"/>
  <c r="G261" i="11"/>
  <c r="E262" i="11"/>
  <c r="H262" i="11" s="1"/>
  <c r="E270" i="11"/>
  <c r="H270" i="11" s="1"/>
  <c r="E278" i="11"/>
  <c r="H278" i="11" s="1"/>
  <c r="E286" i="11"/>
  <c r="H286" i="11" s="1"/>
  <c r="E294" i="11"/>
  <c r="H294" i="11" s="1"/>
  <c r="E318" i="11"/>
  <c r="H318" i="11" s="1"/>
  <c r="E359" i="11"/>
  <c r="H359" i="11" s="1"/>
  <c r="E263" i="11"/>
  <c r="H263" i="11" s="1"/>
  <c r="E271" i="11"/>
  <c r="H271" i="11" s="1"/>
  <c r="E279" i="11"/>
  <c r="H279" i="11" s="1"/>
  <c r="E287" i="11"/>
  <c r="H287" i="11" s="1"/>
  <c r="E295" i="11"/>
  <c r="H295" i="11" s="1"/>
  <c r="E303" i="11"/>
  <c r="H303" i="11" s="1"/>
  <c r="E311" i="11"/>
  <c r="H311" i="11" s="1"/>
  <c r="E319" i="11"/>
  <c r="H319" i="11" s="1"/>
  <c r="E335" i="11"/>
  <c r="H335" i="11" s="1"/>
  <c r="E264" i="11"/>
  <c r="H264" i="11" s="1"/>
  <c r="E272" i="11"/>
  <c r="H272" i="11" s="1"/>
  <c r="E280" i="11"/>
  <c r="H280" i="11" s="1"/>
  <c r="E288" i="11"/>
  <c r="H288" i="11" s="1"/>
  <c r="E296" i="11"/>
  <c r="H296" i="11" s="1"/>
  <c r="E304" i="11"/>
  <c r="H304" i="11" s="1"/>
  <c r="E312" i="11"/>
  <c r="H312" i="11" s="1"/>
  <c r="E320" i="11"/>
  <c r="H320" i="11" s="1"/>
  <c r="E328" i="11"/>
  <c r="H328" i="11" s="1"/>
  <c r="E336" i="11"/>
  <c r="H336" i="11" s="1"/>
  <c r="E344" i="11"/>
  <c r="H344" i="11" s="1"/>
  <c r="E352" i="11"/>
  <c r="H352" i="11" s="1"/>
  <c r="E360" i="11"/>
  <c r="H360" i="11" s="1"/>
  <c r="E274" i="11"/>
  <c r="H274" i="11" s="1"/>
  <c r="E298" i="11"/>
  <c r="H298" i="11" s="1"/>
  <c r="E314" i="11"/>
  <c r="H314" i="11" s="1"/>
  <c r="E330" i="11"/>
  <c r="H330" i="11" s="1"/>
  <c r="E338" i="11"/>
  <c r="H338" i="11" s="1"/>
  <c r="E354" i="11"/>
  <c r="H354" i="11" s="1"/>
  <c r="E267" i="11"/>
  <c r="H267" i="11" s="1"/>
  <c r="E299" i="11"/>
  <c r="H299" i="11" s="1"/>
  <c r="E323" i="11"/>
  <c r="H323" i="11" s="1"/>
  <c r="E339" i="11"/>
  <c r="H339" i="11" s="1"/>
  <c r="E308" i="11"/>
  <c r="H308" i="11" s="1"/>
  <c r="E324" i="11"/>
  <c r="H324" i="11" s="1"/>
  <c r="E340" i="11"/>
  <c r="H340" i="11" s="1"/>
  <c r="E269" i="11"/>
  <c r="H269" i="11" s="1"/>
  <c r="E293" i="11"/>
  <c r="H293" i="11" s="1"/>
  <c r="E317" i="11"/>
  <c r="H317" i="11" s="1"/>
  <c r="E341" i="11"/>
  <c r="H341" i="11" s="1"/>
  <c r="E310" i="11"/>
  <c r="H310" i="11" s="1"/>
  <c r="E342" i="11"/>
  <c r="H342" i="11" s="1"/>
  <c r="E343" i="11"/>
  <c r="H343" i="11" s="1"/>
  <c r="E265" i="11"/>
  <c r="H265" i="11" s="1"/>
  <c r="E273" i="11"/>
  <c r="H273" i="11" s="1"/>
  <c r="E281" i="11"/>
  <c r="H281" i="11" s="1"/>
  <c r="E289" i="11"/>
  <c r="H289" i="11" s="1"/>
  <c r="E297" i="11"/>
  <c r="H297" i="11" s="1"/>
  <c r="E305" i="11"/>
  <c r="H305" i="11" s="1"/>
  <c r="E313" i="11"/>
  <c r="H313" i="11" s="1"/>
  <c r="E321" i="11"/>
  <c r="H321" i="11" s="1"/>
  <c r="E329" i="11"/>
  <c r="H329" i="11" s="1"/>
  <c r="E337" i="11"/>
  <c r="H337" i="11" s="1"/>
  <c r="E345" i="11"/>
  <c r="H345" i="11" s="1"/>
  <c r="E353" i="11"/>
  <c r="H353" i="11" s="1"/>
  <c r="E266" i="11"/>
  <c r="H266" i="11" s="1"/>
  <c r="E282" i="11"/>
  <c r="H282" i="11" s="1"/>
  <c r="E290" i="11"/>
  <c r="H290" i="11" s="1"/>
  <c r="E306" i="11"/>
  <c r="H306" i="11" s="1"/>
  <c r="E322" i="11"/>
  <c r="H322" i="11" s="1"/>
  <c r="E346" i="11"/>
  <c r="H346" i="11" s="1"/>
  <c r="E275" i="11"/>
  <c r="H275" i="11" s="1"/>
  <c r="E283" i="11"/>
  <c r="H283" i="11" s="1"/>
  <c r="E291" i="11"/>
  <c r="H291" i="11" s="1"/>
  <c r="E307" i="11"/>
  <c r="H307" i="11" s="1"/>
  <c r="E315" i="11"/>
  <c r="H315" i="11" s="1"/>
  <c r="E331" i="11"/>
  <c r="H331" i="11" s="1"/>
  <c r="E347" i="11"/>
  <c r="H347" i="11" s="1"/>
  <c r="E300" i="11"/>
  <c r="H300" i="11" s="1"/>
  <c r="E356" i="11"/>
  <c r="H356" i="11" s="1"/>
  <c r="E285" i="11"/>
  <c r="H285" i="11" s="1"/>
  <c r="E333" i="11"/>
  <c r="H333" i="11" s="1"/>
  <c r="E326" i="11"/>
  <c r="H326" i="11" s="1"/>
  <c r="E358" i="11"/>
  <c r="H358" i="11" s="1"/>
  <c r="E351" i="11"/>
  <c r="H351" i="11" s="1"/>
  <c r="E309" i="11"/>
  <c r="H309" i="11" s="1"/>
  <c r="E355" i="11"/>
  <c r="H355" i="11" s="1"/>
  <c r="E357" i="11"/>
  <c r="H357" i="11" s="1"/>
  <c r="E334" i="11"/>
  <c r="H334" i="11" s="1"/>
  <c r="E327" i="11"/>
  <c r="H327" i="11" s="1"/>
  <c r="E268" i="11"/>
  <c r="H268" i="11" s="1"/>
  <c r="E276" i="11"/>
  <c r="H276" i="11" s="1"/>
  <c r="E284" i="11"/>
  <c r="H284" i="11" s="1"/>
  <c r="E292" i="11"/>
  <c r="H292" i="11" s="1"/>
  <c r="E316" i="11"/>
  <c r="H316" i="11" s="1"/>
  <c r="E332" i="11"/>
  <c r="H332" i="11" s="1"/>
  <c r="E348" i="11"/>
  <c r="H348" i="11" s="1"/>
  <c r="E277" i="11"/>
  <c r="H277" i="11" s="1"/>
  <c r="E301" i="11"/>
  <c r="H301" i="11" s="1"/>
  <c r="E325" i="11"/>
  <c r="H325" i="11" s="1"/>
  <c r="E349" i="11"/>
  <c r="H349" i="11" s="1"/>
  <c r="E302" i="11"/>
  <c r="H302" i="11" s="1"/>
  <c r="E350" i="11"/>
  <c r="H350" i="11" s="1"/>
  <c r="C374" i="11"/>
  <c r="D374" i="11"/>
  <c r="D393" i="11" s="1"/>
  <c r="H261" i="11" l="1"/>
  <c r="C258" i="11" s="1"/>
  <c r="G307" i="11"/>
  <c r="F307" i="11"/>
  <c r="G282" i="11"/>
  <c r="F282" i="11"/>
  <c r="G305" i="11"/>
  <c r="F305" i="11"/>
  <c r="G310" i="11"/>
  <c r="F310" i="11"/>
  <c r="G339" i="11"/>
  <c r="F339" i="11"/>
  <c r="G298" i="11"/>
  <c r="F298" i="11"/>
  <c r="G312" i="11"/>
  <c r="F312" i="11"/>
  <c r="G319" i="11"/>
  <c r="F319" i="11"/>
  <c r="G359" i="11"/>
  <c r="F359" i="11"/>
  <c r="G348" i="11"/>
  <c r="F348" i="11"/>
  <c r="G334" i="11"/>
  <c r="F334" i="11"/>
  <c r="G285" i="11"/>
  <c r="F285" i="11"/>
  <c r="G283" i="11"/>
  <c r="F283" i="11"/>
  <c r="G353" i="11"/>
  <c r="F353" i="11"/>
  <c r="G289" i="11"/>
  <c r="F289" i="11"/>
  <c r="G317" i="11"/>
  <c r="F317" i="11"/>
  <c r="G299" i="11"/>
  <c r="F299" i="11"/>
  <c r="G360" i="11"/>
  <c r="F360" i="11"/>
  <c r="G296" i="11"/>
  <c r="F296" i="11"/>
  <c r="G303" i="11"/>
  <c r="F303" i="11"/>
  <c r="G294" i="11"/>
  <c r="F294" i="11"/>
  <c r="G301" i="11"/>
  <c r="F301" i="11"/>
  <c r="G266" i="11"/>
  <c r="F266" i="11"/>
  <c r="G304" i="11"/>
  <c r="F304" i="11"/>
  <c r="G357" i="11"/>
  <c r="F357" i="11"/>
  <c r="G293" i="11"/>
  <c r="F293" i="11"/>
  <c r="G286" i="11"/>
  <c r="F286" i="11"/>
  <c r="G277" i="11"/>
  <c r="F277" i="11"/>
  <c r="G345" i="11"/>
  <c r="F345" i="11"/>
  <c r="G267" i="11"/>
  <c r="F267" i="11"/>
  <c r="G316" i="11"/>
  <c r="F316" i="11"/>
  <c r="G355" i="11"/>
  <c r="F355" i="11"/>
  <c r="G300" i="11"/>
  <c r="F300" i="11"/>
  <c r="G346" i="11"/>
  <c r="F346" i="11"/>
  <c r="G337" i="11"/>
  <c r="F337" i="11"/>
  <c r="G273" i="11"/>
  <c r="F273" i="11"/>
  <c r="G269" i="11"/>
  <c r="F269" i="11"/>
  <c r="G354" i="11"/>
  <c r="F354" i="11"/>
  <c r="G344" i="11"/>
  <c r="F344" i="11"/>
  <c r="G280" i="11"/>
  <c r="F280" i="11"/>
  <c r="G287" i="11"/>
  <c r="F287" i="11"/>
  <c r="G278" i="11"/>
  <c r="F278" i="11"/>
  <c r="G326" i="11"/>
  <c r="F326" i="11"/>
  <c r="G327" i="11"/>
  <c r="F327" i="11"/>
  <c r="G297" i="11"/>
  <c r="F297" i="11"/>
  <c r="G323" i="11"/>
  <c r="F323" i="11"/>
  <c r="G274" i="11"/>
  <c r="F274" i="11"/>
  <c r="G356" i="11"/>
  <c r="F356" i="11"/>
  <c r="G288" i="11"/>
  <c r="F288" i="11"/>
  <c r="G309" i="11"/>
  <c r="F309" i="11"/>
  <c r="G322" i="11"/>
  <c r="F322" i="11"/>
  <c r="G329" i="11"/>
  <c r="F329" i="11"/>
  <c r="G265" i="11"/>
  <c r="F265" i="11"/>
  <c r="G340" i="11"/>
  <c r="F340" i="11"/>
  <c r="G338" i="11"/>
  <c r="F338" i="11"/>
  <c r="G336" i="11"/>
  <c r="F336" i="11"/>
  <c r="G272" i="11"/>
  <c r="F272" i="11"/>
  <c r="G279" i="11"/>
  <c r="F279" i="11"/>
  <c r="G270" i="11"/>
  <c r="F270" i="11"/>
  <c r="G268" i="11"/>
  <c r="F268" i="11"/>
  <c r="G291" i="11"/>
  <c r="F291" i="11"/>
  <c r="G341" i="11"/>
  <c r="F341" i="11"/>
  <c r="G318" i="11"/>
  <c r="F318" i="11"/>
  <c r="G332" i="11"/>
  <c r="F332" i="11"/>
  <c r="G281" i="11"/>
  <c r="F281" i="11"/>
  <c r="G295" i="11"/>
  <c r="F295" i="11"/>
  <c r="G302" i="11"/>
  <c r="F302" i="11"/>
  <c r="G292" i="11"/>
  <c r="F292" i="11"/>
  <c r="G284" i="11"/>
  <c r="F284" i="11"/>
  <c r="G351" i="11"/>
  <c r="F351" i="11"/>
  <c r="G331" i="11"/>
  <c r="F331" i="11"/>
  <c r="G306" i="11"/>
  <c r="F306" i="11"/>
  <c r="G321" i="11"/>
  <c r="F321" i="11"/>
  <c r="G343" i="11"/>
  <c r="F343" i="11"/>
  <c r="G324" i="11"/>
  <c r="F324" i="11"/>
  <c r="G330" i="11"/>
  <c r="F330" i="11"/>
  <c r="G328" i="11"/>
  <c r="F328" i="11"/>
  <c r="G264" i="11"/>
  <c r="F264" i="11"/>
  <c r="G271" i="11"/>
  <c r="F271" i="11"/>
  <c r="G262" i="11"/>
  <c r="F262" i="11"/>
  <c r="G333" i="11"/>
  <c r="F333" i="11"/>
  <c r="G311" i="11"/>
  <c r="F311" i="11"/>
  <c r="G275" i="11"/>
  <c r="F275" i="11"/>
  <c r="G352" i="11"/>
  <c r="F352" i="11"/>
  <c r="G350" i="11"/>
  <c r="F350" i="11"/>
  <c r="G347" i="11"/>
  <c r="F347" i="11"/>
  <c r="G349" i="11"/>
  <c r="F349" i="11"/>
  <c r="G325" i="11"/>
  <c r="F325" i="11"/>
  <c r="G276" i="11"/>
  <c r="F276" i="11"/>
  <c r="G358" i="11"/>
  <c r="F358" i="11"/>
  <c r="G315" i="11"/>
  <c r="F315" i="11"/>
  <c r="G290" i="11"/>
  <c r="F290" i="11"/>
  <c r="G313" i="11"/>
  <c r="F313" i="11"/>
  <c r="G342" i="11"/>
  <c r="F342" i="11"/>
  <c r="G308" i="11"/>
  <c r="F308" i="11"/>
  <c r="G314" i="11"/>
  <c r="F314" i="11"/>
  <c r="G320" i="11"/>
  <c r="F320" i="11"/>
  <c r="G335" i="11"/>
  <c r="F335" i="11"/>
  <c r="G263" i="11"/>
  <c r="F263" i="11"/>
  <c r="D384" i="11"/>
  <c r="F384" i="11" s="1"/>
  <c r="D382" i="11"/>
  <c r="E393" i="11"/>
  <c r="D394" i="11"/>
  <c r="F393" i="11"/>
  <c r="G393" i="11" s="1"/>
  <c r="I116" i="11" s="1"/>
  <c r="C257" i="11" l="1"/>
  <c r="G394" i="11"/>
  <c r="I117" i="11" s="1"/>
  <c r="I133" i="11" s="1"/>
  <c r="I134" i="11" s="1"/>
  <c r="I143" i="11" s="1"/>
  <c r="H145" i="11" s="1"/>
  <c r="E394" i="11"/>
  <c r="F394" i="11"/>
  <c r="G382" i="11"/>
  <c r="E382" i="11"/>
  <c r="F382" i="11"/>
  <c r="E384" i="11"/>
  <c r="G384" i="11" s="1"/>
  <c r="D385" i="11"/>
  <c r="D383" i="11"/>
  <c r="F116" i="11" l="1"/>
  <c r="H116" i="11"/>
  <c r="F114" i="11"/>
  <c r="H114" i="11"/>
  <c r="G385" i="11"/>
  <c r="F385" i="11"/>
  <c r="E385" i="11"/>
  <c r="G383" i="11"/>
  <c r="E383" i="11"/>
  <c r="F383" i="11"/>
  <c r="G116" i="11"/>
  <c r="G114" i="11"/>
  <c r="H188" i="11" l="1"/>
  <c r="H192" i="11" s="1"/>
  <c r="H194" i="11" s="1"/>
  <c r="H200" i="11" s="1"/>
  <c r="H151" i="11"/>
  <c r="F115" i="11"/>
  <c r="H115" i="11"/>
  <c r="H130" i="11" s="1"/>
  <c r="F117" i="11"/>
  <c r="H117" i="11"/>
  <c r="H134" i="11" s="1"/>
  <c r="F129" i="11"/>
  <c r="F133" i="11"/>
  <c r="G117" i="11"/>
  <c r="G133" i="11" s="1"/>
  <c r="G134" i="11" s="1"/>
  <c r="G145" i="11" s="1"/>
  <c r="G115" i="11"/>
  <c r="H144" i="11" l="1"/>
  <c r="H197" i="11"/>
  <c r="H231" i="11" s="1"/>
  <c r="H213" i="11"/>
  <c r="G187" i="11"/>
  <c r="G188" i="11" s="1"/>
  <c r="G151" i="11"/>
  <c r="H214" i="11" l="1"/>
  <c r="H234" i="11"/>
  <c r="H203" i="11" s="1"/>
  <c r="G192" i="11"/>
  <c r="H215" i="11" l="1"/>
  <c r="H209" i="11"/>
  <c r="G200" i="11"/>
  <c r="G231" i="11"/>
  <c r="G214" i="11" l="1"/>
  <c r="G234" i="11"/>
  <c r="G203" i="11" s="1"/>
  <c r="G209" i="11" s="1"/>
  <c r="G213" i="11"/>
  <c r="G215" i="11" l="1"/>
  <c r="K354" i="11" l="1"/>
  <c r="J354" i="11"/>
  <c r="L354" i="11"/>
  <c r="K277" i="11"/>
  <c r="J277" i="11"/>
  <c r="L277" i="11"/>
  <c r="L352" i="11"/>
  <c r="K352" i="11"/>
  <c r="J352" i="11"/>
  <c r="L289" i="11"/>
  <c r="K289" i="11"/>
  <c r="J289" i="11"/>
  <c r="K270" i="11"/>
  <c r="J270" i="11"/>
  <c r="L270" i="11"/>
  <c r="L284" i="11"/>
  <c r="K284" i="11"/>
  <c r="J284" i="11"/>
  <c r="K306" i="11"/>
  <c r="J306" i="11"/>
  <c r="L306" i="11"/>
  <c r="K294" i="11"/>
  <c r="J294" i="11"/>
  <c r="L294" i="11"/>
  <c r="L300" i="11"/>
  <c r="K300" i="11"/>
  <c r="J300" i="11"/>
  <c r="K271" i="11"/>
  <c r="J271" i="11"/>
  <c r="L271" i="11"/>
  <c r="L321" i="11"/>
  <c r="K321" i="11"/>
  <c r="J321" i="11"/>
  <c r="L344" i="11"/>
  <c r="K344" i="11"/>
  <c r="J344" i="11"/>
  <c r="K275" i="11"/>
  <c r="J275" i="11"/>
  <c r="L275" i="11"/>
  <c r="L323" i="11"/>
  <c r="K323" i="11"/>
  <c r="J323" i="11"/>
  <c r="L324" i="11"/>
  <c r="K324" i="11"/>
  <c r="J324" i="11"/>
  <c r="K311" i="11"/>
  <c r="J311" i="11"/>
  <c r="L311" i="11"/>
  <c r="L341" i="11"/>
  <c r="K341" i="11"/>
  <c r="J341" i="11"/>
  <c r="K334" i="11"/>
  <c r="J334" i="11"/>
  <c r="L334" i="11"/>
  <c r="K286" i="11"/>
  <c r="L286" i="11"/>
  <c r="J286" i="11"/>
  <c r="L332" i="11"/>
  <c r="K332" i="11"/>
  <c r="J332" i="11"/>
  <c r="K298" i="11"/>
  <c r="J298" i="11"/>
  <c r="L298" i="11"/>
  <c r="K322" i="11"/>
  <c r="J322" i="11"/>
  <c r="L322" i="11"/>
  <c r="L349" i="11"/>
  <c r="K349" i="11"/>
  <c r="J349" i="11"/>
  <c r="K338" i="11"/>
  <c r="J338" i="11"/>
  <c r="L338" i="11"/>
  <c r="K282" i="11"/>
  <c r="J282" i="11"/>
  <c r="L282" i="11"/>
  <c r="K358" i="11"/>
  <c r="J358" i="11"/>
  <c r="L358" i="11"/>
  <c r="L328" i="11"/>
  <c r="K328" i="11"/>
  <c r="J328" i="11"/>
  <c r="L359" i="11"/>
  <c r="K359" i="11"/>
  <c r="J359" i="11"/>
  <c r="L268" i="11"/>
  <c r="K268" i="11"/>
  <c r="J268" i="11"/>
  <c r="K278" i="11"/>
  <c r="L278" i="11"/>
  <c r="J278" i="11"/>
  <c r="L351" i="11"/>
  <c r="K351" i="11"/>
  <c r="J351" i="11"/>
  <c r="L292" i="11"/>
  <c r="J292" i="11"/>
  <c r="K292" i="11"/>
  <c r="K330" i="11"/>
  <c r="J330" i="11"/>
  <c r="L330" i="11"/>
  <c r="K310" i="11"/>
  <c r="L310" i="11"/>
  <c r="J310" i="11"/>
  <c r="L327" i="11"/>
  <c r="K327" i="11"/>
  <c r="J327" i="11"/>
  <c r="K319" i="11"/>
  <c r="J319" i="11"/>
  <c r="L319" i="11"/>
  <c r="L333" i="11"/>
  <c r="K333" i="11"/>
  <c r="J333" i="11"/>
  <c r="L285" i="11"/>
  <c r="K285" i="11"/>
  <c r="J285" i="11"/>
  <c r="K281" i="11"/>
  <c r="J281" i="11"/>
  <c r="L281" i="11"/>
  <c r="K283" i="11"/>
  <c r="J283" i="11"/>
  <c r="L283" i="11"/>
  <c r="L296" i="11"/>
  <c r="J296" i="11"/>
  <c r="K296" i="11"/>
  <c r="K287" i="11"/>
  <c r="J287" i="11"/>
  <c r="L287" i="11"/>
  <c r="L356" i="11"/>
  <c r="K356" i="11"/>
  <c r="J356" i="11"/>
  <c r="K346" i="11"/>
  <c r="J346" i="11"/>
  <c r="L346" i="11"/>
  <c r="L355" i="11"/>
  <c r="K355" i="11"/>
  <c r="J355" i="11"/>
  <c r="L297" i="11"/>
  <c r="K297" i="11"/>
  <c r="J297" i="11"/>
  <c r="K318" i="11"/>
  <c r="L318" i="11"/>
  <c r="J318" i="11"/>
  <c r="K279" i="11"/>
  <c r="J279" i="11"/>
  <c r="L279" i="11"/>
  <c r="L347" i="11"/>
  <c r="K347" i="11"/>
  <c r="J347" i="11"/>
  <c r="L360" i="11"/>
  <c r="K360" i="11"/>
  <c r="J360" i="11"/>
  <c r="K342" i="11"/>
  <c r="J342" i="11"/>
  <c r="L342" i="11"/>
  <c r="K303" i="11"/>
  <c r="J303" i="11"/>
  <c r="L303" i="11"/>
  <c r="K269" i="11"/>
  <c r="J269" i="11"/>
  <c r="L269" i="11"/>
  <c r="L312" i="11"/>
  <c r="K312" i="11"/>
  <c r="J312" i="11"/>
  <c r="L308" i="11"/>
  <c r="K308" i="11"/>
  <c r="J308" i="11"/>
  <c r="K263" i="11"/>
  <c r="J263" i="11"/>
  <c r="L263" i="11"/>
  <c r="L339" i="11"/>
  <c r="K339" i="11"/>
  <c r="J339" i="11"/>
  <c r="L353" i="11"/>
  <c r="K353" i="11"/>
  <c r="J353" i="11"/>
  <c r="L272" i="11"/>
  <c r="K272" i="11"/>
  <c r="J272" i="11"/>
  <c r="L343" i="11"/>
  <c r="K343" i="11"/>
  <c r="J343" i="11"/>
  <c r="L348" i="11"/>
  <c r="K348" i="11"/>
  <c r="J348" i="11"/>
  <c r="K295" i="11"/>
  <c r="J295" i="11"/>
  <c r="L295" i="11"/>
  <c r="L320" i="11"/>
  <c r="K320" i="11"/>
  <c r="J320" i="11"/>
  <c r="L337" i="11"/>
  <c r="K337" i="11"/>
  <c r="J337" i="11"/>
  <c r="L301" i="11"/>
  <c r="J301" i="11"/>
  <c r="K301" i="11"/>
  <c r="J288" i="11"/>
  <c r="L288" i="11"/>
  <c r="K288" i="11"/>
  <c r="K273" i="11"/>
  <c r="J273" i="11"/>
  <c r="L273" i="11"/>
  <c r="L340" i="11"/>
  <c r="K340" i="11"/>
  <c r="J340" i="11"/>
  <c r="L280" i="11"/>
  <c r="K280" i="11"/>
  <c r="J280" i="11"/>
  <c r="K266" i="11"/>
  <c r="L266" i="11"/>
  <c r="J266" i="11"/>
  <c r="K265" i="11"/>
  <c r="J265" i="11"/>
  <c r="L265" i="11"/>
  <c r="L264" i="11"/>
  <c r="K264" i="11"/>
  <c r="J264" i="11"/>
  <c r="L317" i="11"/>
  <c r="K317" i="11"/>
  <c r="J317" i="11"/>
  <c r="K326" i="11"/>
  <c r="J326" i="11"/>
  <c r="L326" i="11"/>
  <c r="K350" i="11"/>
  <c r="J350" i="11"/>
  <c r="L350" i="11"/>
  <c r="L345" i="11"/>
  <c r="K345" i="11"/>
  <c r="J345" i="11"/>
  <c r="L357" i="11"/>
  <c r="K357" i="11"/>
  <c r="J357" i="11"/>
  <c r="K267" i="11"/>
  <c r="J267" i="11"/>
  <c r="L267" i="11"/>
  <c r="K314" i="11"/>
  <c r="L314" i="11"/>
  <c r="J314" i="11"/>
  <c r="L293" i="11"/>
  <c r="K293" i="11"/>
  <c r="J293" i="11"/>
  <c r="L313" i="11"/>
  <c r="K313" i="11"/>
  <c r="J313" i="11"/>
  <c r="L305" i="11"/>
  <c r="J305" i="11"/>
  <c r="K305" i="11"/>
  <c r="L316" i="11"/>
  <c r="K316" i="11"/>
  <c r="J316" i="11"/>
  <c r="L329" i="11"/>
  <c r="K329" i="11"/>
  <c r="J329" i="11"/>
  <c r="K307" i="11"/>
  <c r="J307" i="11"/>
  <c r="L307" i="11"/>
  <c r="K290" i="11"/>
  <c r="J290" i="11"/>
  <c r="L290" i="11"/>
  <c r="L331" i="11"/>
  <c r="K331" i="11"/>
  <c r="J331" i="11"/>
  <c r="L325" i="11"/>
  <c r="K325" i="11"/>
  <c r="J325" i="11"/>
  <c r="L336" i="11"/>
  <c r="K336" i="11"/>
  <c r="J336" i="11"/>
  <c r="K302" i="11"/>
  <c r="L302" i="11"/>
  <c r="J302" i="11"/>
  <c r="K315" i="11"/>
  <c r="J315" i="11"/>
  <c r="L315" i="11"/>
  <c r="L304" i="11"/>
  <c r="K304" i="11"/>
  <c r="J304" i="11"/>
  <c r="L335" i="11"/>
  <c r="K335" i="11"/>
  <c r="J335" i="11"/>
  <c r="K274" i="11"/>
  <c r="L274" i="11"/>
  <c r="J274" i="11"/>
  <c r="L276" i="11"/>
  <c r="K276" i="11"/>
  <c r="J276" i="11"/>
  <c r="K291" i="11"/>
  <c r="J291" i="11"/>
  <c r="L291" i="11"/>
  <c r="K299" i="11"/>
  <c r="J299" i="11"/>
  <c r="L299" i="11"/>
  <c r="L309" i="11"/>
  <c r="K309" i="11"/>
  <c r="J309" i="11"/>
  <c r="K262" i="11"/>
  <c r="J262" i="11"/>
  <c r="L262" i="11"/>
  <c r="F109" i="11" l="1"/>
  <c r="F108" i="11"/>
  <c r="F110" i="11" l="1"/>
  <c r="F168" i="11"/>
  <c r="F111" i="11" l="1"/>
  <c r="F122" i="11" l="1"/>
  <c r="F130" i="11" s="1"/>
  <c r="F123" i="11"/>
  <c r="F134" i="11" s="1"/>
  <c r="D72" i="32"/>
  <c r="F145" i="11" l="1"/>
  <c r="F151" i="11" l="1"/>
  <c r="F15" i="30" s="1"/>
  <c r="F187" i="11"/>
  <c r="F188" i="11" s="1"/>
  <c r="F192" i="11" s="1"/>
  <c r="F200" i="11" s="1"/>
  <c r="F213" i="11" s="1"/>
  <c r="F14" i="30"/>
  <c r="F231" i="11" l="1"/>
  <c r="F234" i="11" l="1"/>
  <c r="F203" i="11" s="1"/>
  <c r="F209" i="11" s="1"/>
  <c r="F214" i="11"/>
  <c r="F215" i="11" l="1"/>
</calcChain>
</file>

<file path=xl/sharedStrings.xml><?xml version="1.0" encoding="utf-8"?>
<sst xmlns="http://schemas.openxmlformats.org/spreadsheetml/2006/main" count="2625" uniqueCount="1159">
  <si>
    <t>Table of Contents</t>
  </si>
  <si>
    <t>Test Conditions</t>
  </si>
  <si>
    <t>Photos</t>
  </si>
  <si>
    <t>Step 1</t>
  </si>
  <si>
    <t>Step 2</t>
  </si>
  <si>
    <t>Step 3</t>
  </si>
  <si>
    <t>Step 4</t>
  </si>
  <si>
    <t>Step 5</t>
  </si>
  <si>
    <t>Step 6</t>
  </si>
  <si>
    <t>Step 7</t>
  </si>
  <si>
    <t>Step 8</t>
  </si>
  <si>
    <t>Step 9</t>
  </si>
  <si>
    <t>Product Information</t>
  </si>
  <si>
    <t>Lab Name:</t>
  </si>
  <si>
    <t>Accuracy</t>
  </si>
  <si>
    <t>Date of Last Calibration</t>
  </si>
  <si>
    <t>Deadline for Next Calibration</t>
  </si>
  <si>
    <t>Circulation</t>
  </si>
  <si>
    <t>Air</t>
  </si>
  <si>
    <t>Gas</t>
  </si>
  <si>
    <t>None</t>
  </si>
  <si>
    <t>Condensing</t>
  </si>
  <si>
    <t>Control</t>
  </si>
  <si>
    <t>Single Stage</t>
  </si>
  <si>
    <t>Two-Stage Modulating</t>
  </si>
  <si>
    <t>Step Modulating</t>
  </si>
  <si>
    <t>Installation</t>
  </si>
  <si>
    <t>Test Pressure (in. Water)</t>
  </si>
  <si>
    <t>Type</t>
  </si>
  <si>
    <t>Sp. Gr. (Air = 1)</t>
  </si>
  <si>
    <t>Normal</t>
  </si>
  <si>
    <t>Increased</t>
  </si>
  <si>
    <t>AFUE</t>
  </si>
  <si>
    <t>Variable</t>
  </si>
  <si>
    <t>Value</t>
  </si>
  <si>
    <t>Unit</t>
  </si>
  <si>
    <t>min</t>
  </si>
  <si>
    <t>Btu/h</t>
  </si>
  <si>
    <t>α</t>
  </si>
  <si>
    <t>System Number</t>
  </si>
  <si>
    <t>Natural Gas</t>
  </si>
  <si>
    <t>Fuel</t>
  </si>
  <si>
    <t>Manufactured Gas</t>
  </si>
  <si>
    <t>A/F</t>
  </si>
  <si>
    <t>A</t>
  </si>
  <si>
    <t>B</t>
  </si>
  <si>
    <t>CF(1)</t>
  </si>
  <si>
    <t>CF(2)</t>
  </si>
  <si>
    <t>CF(3)</t>
  </si>
  <si>
    <t>CF(4)</t>
  </si>
  <si>
    <t>CF(5)</t>
  </si>
  <si>
    <t>°F</t>
  </si>
  <si>
    <t>Measurements</t>
  </si>
  <si>
    <t>Room Temperature</t>
  </si>
  <si>
    <t>DHR</t>
  </si>
  <si>
    <t>Design Heating Requirement</t>
  </si>
  <si>
    <t>Flue Gas Temperature (°F)</t>
  </si>
  <si>
    <t>kW</t>
  </si>
  <si>
    <t>K</t>
  </si>
  <si>
    <t>HHV</t>
  </si>
  <si>
    <t>S/F</t>
  </si>
  <si>
    <t>Fuel Higher Heating Value</t>
  </si>
  <si>
    <t>Equation Section</t>
  </si>
  <si>
    <t>Maximum Fuel Input Rate Heating Capacity</t>
  </si>
  <si>
    <t>Range</t>
  </si>
  <si>
    <t>Low</t>
  </si>
  <si>
    <t>High</t>
  </si>
  <si>
    <t>+</t>
  </si>
  <si>
    <t>Balance-Point Temperature</t>
  </si>
  <si>
    <t>Average Steady-State Efficiency for the Modulating Mode for Furnaces and Boilers Equipped with Step Modulating Controls</t>
  </si>
  <si>
    <t>Weighted-Average Steady-State Efficiency</t>
  </si>
  <si>
    <t>Average Heat Output Rate for the Modulating Mode for Furnaces and Boilers Equipped with Step Modulating Controls</t>
  </si>
  <si>
    <t>Variable Name</t>
  </si>
  <si>
    <t>Average Part-Load Efficiency for the Modulating Mode for Furnaces and Boilers Equipped with Step Modulating Controls</t>
  </si>
  <si>
    <t>Off-Cycle Stack Gas Draft Factor</t>
  </si>
  <si>
    <t>11.3.11.1</t>
  </si>
  <si>
    <t>lb</t>
  </si>
  <si>
    <t>Total Container and Condensate Weight</t>
  </si>
  <si>
    <t>Tare Container Weight</t>
  </si>
  <si>
    <t>Humidity Condition Met?</t>
  </si>
  <si>
    <t>Btu</t>
  </si>
  <si>
    <t>11.3.11.2</t>
  </si>
  <si>
    <t>General Info &amp; Test Results</t>
  </si>
  <si>
    <t>Off_Cycle_Devices</t>
  </si>
  <si>
    <t>Drop Downs</t>
  </si>
  <si>
    <t>Average On-Cycle Infiltration Heat Loss for the Modulating Mode for Furnaces and Boilers Equipped with Step Modulating Controls</t>
  </si>
  <si>
    <t>Condition Met?</t>
  </si>
  <si>
    <t>External Static Pressure (in. water)</t>
  </si>
  <si>
    <t>Input to Furnace Range</t>
  </si>
  <si>
    <t>Room Air Temperature</t>
  </si>
  <si>
    <t>Fuel Energy Input</t>
  </si>
  <si>
    <t>Flue Gas Temperature (Cycle 1)</t>
  </si>
  <si>
    <t>Flue Gas Temperature (Cycle 2)</t>
  </si>
  <si>
    <t>Flue Gas Temperature Condition Met?</t>
  </si>
  <si>
    <t>Condensate Mass Condition Met?</t>
  </si>
  <si>
    <t>Total Condensate Collected</t>
  </si>
  <si>
    <t>PE</t>
  </si>
  <si>
    <t>BE</t>
  </si>
  <si>
    <t>Average Outdoor Temperature</t>
  </si>
  <si>
    <t>Max Input Falls in range?</t>
  </si>
  <si>
    <t>Tab</t>
  </si>
  <si>
    <t>Contents</t>
  </si>
  <si>
    <t>Instructions</t>
  </si>
  <si>
    <t>Instructions and Table of Contents</t>
  </si>
  <si>
    <t>Test Data Inputs &amp; Calculations</t>
  </si>
  <si>
    <t>Comments</t>
  </si>
  <si>
    <t>Report Sign-Off Block</t>
  </si>
  <si>
    <t>Version Control</t>
  </si>
  <si>
    <t>LEGEND</t>
  </si>
  <si>
    <t>Input cell</t>
  </si>
  <si>
    <t>NOT USED</t>
  </si>
  <si>
    <t>Instructions for Completing this Template</t>
  </si>
  <si>
    <t xml:space="preserve">Follow the steps below, filling in all input cells (shaded light blue) in each tab you are instructed to complete. Using TAB to "hop" from input cell to input cell is useful, but does not ensure that all input cells are reached. To guarantee that you enter all required information, you must visually scan for light blue cells in the entire area bounded by yellow-shaded cells. </t>
  </si>
  <si>
    <r>
      <rPr>
        <b/>
        <sz val="11"/>
        <rFont val="Palatino Linotype"/>
        <family val="1"/>
      </rPr>
      <t xml:space="preserve">Important: </t>
    </r>
    <r>
      <rPr>
        <sz val="11"/>
        <rFont val="Palatino Linotype"/>
        <family val="1"/>
      </rPr>
      <t>Start with a clean (unused) template copy for each new report. Enter only data and information that are unique to the unit tested and the current test of that unit. All abbreviations and variable names should be consistent with the reference test procedure.</t>
    </r>
  </si>
  <si>
    <t>STEP:</t>
  </si>
  <si>
    <t>FILL IN INPUT CELLS IN THIS TAB:</t>
  </si>
  <si>
    <t>Report Sign-off Block</t>
  </si>
  <si>
    <t>File Name:</t>
  </si>
  <si>
    <t>Tab Name:</t>
  </si>
  <si>
    <t>Version Number:</t>
  </si>
  <si>
    <t xml:space="preserve">Latest Template Revision: </t>
  </si>
  <si>
    <t xml:space="preserve">Test Completion Date: </t>
  </si>
  <si>
    <t>Revisions List</t>
  </si>
  <si>
    <t>Version</t>
  </si>
  <si>
    <t>Date</t>
  </si>
  <si>
    <t>[MM/DD/YYYY]</t>
  </si>
  <si>
    <t>Back to Instructions tab</t>
  </si>
  <si>
    <t>Max Test</t>
  </si>
  <si>
    <t>Reduced Test</t>
  </si>
  <si>
    <t xml:space="preserve">Test Report Sign-Off Block </t>
  </si>
  <si>
    <t xml:space="preserve">By signing in the space below, we certify that the information and data in this report: (1) were obtained from the specific test unit under test; (2) were obtained during the specific test being reported; (3) were not copied from any other source, except where instructed to do so; and (4) were not altered or modified in any way. </t>
  </si>
  <si>
    <t>Role</t>
  </si>
  <si>
    <t>Entity</t>
  </si>
  <si>
    <t>Test Completion</t>
  </si>
  <si>
    <t>[Test Lab Name]</t>
  </si>
  <si>
    <t>Template Completion</t>
  </si>
  <si>
    <t>Report Review by Test Lab</t>
  </si>
  <si>
    <t>Result</t>
  </si>
  <si>
    <t>Units</t>
  </si>
  <si>
    <t>Test Information</t>
  </si>
  <si>
    <t>Date Test Started:</t>
  </si>
  <si>
    <t>Date Test Finished:</t>
  </si>
  <si>
    <t xml:space="preserve">Brand: </t>
  </si>
  <si>
    <t xml:space="preserve">We certify that the information and data in this report: (1) were obtained from the specific test unit under test; (2) were obtained during the specific test being reported; (3) were not copied from any other source, except where instructed to do so; and (4) were not altered or modified in any way. </t>
  </si>
  <si>
    <t xml:space="preserve">Manufacturer: </t>
  </si>
  <si>
    <t xml:space="preserve">Manufacturer model number: </t>
  </si>
  <si>
    <t xml:space="preserve">Serial number: </t>
  </si>
  <si>
    <t>Date of Manufacture (if available):</t>
  </si>
  <si>
    <t>Date Product Received:</t>
  </si>
  <si>
    <t>Condition as received:</t>
  </si>
  <si>
    <t>Product Characteristics</t>
  </si>
  <si>
    <t>Steady State Efficiency</t>
  </si>
  <si>
    <t>Heating Seasonal Efficiency</t>
  </si>
  <si>
    <t>Annual Fuel Utilization Efficiency</t>
  </si>
  <si>
    <t>Setup (This table should include instrumentation, sensors, and all equipment used during testing)</t>
  </si>
  <si>
    <t>Instrument Type</t>
  </si>
  <si>
    <t>Brand</t>
  </si>
  <si>
    <t>Model #</t>
  </si>
  <si>
    <t>Sensor Location</t>
  </si>
  <si>
    <t>If additional sensors were used, describe placement:</t>
  </si>
  <si>
    <t>Describe placement of thermocouple grid:</t>
  </si>
  <si>
    <t>Maximum Test</t>
  </si>
  <si>
    <t>• Watts</t>
  </si>
  <si>
    <t>• Watt-hours</t>
  </si>
  <si>
    <t>• Volts</t>
  </si>
  <si>
    <t>• Amps</t>
  </si>
  <si>
    <r>
      <t>Include the following as a function of time for at least the duration of the steady state</t>
    </r>
    <r>
      <rPr>
        <b/>
        <sz val="11"/>
        <color indexed="8"/>
        <rFont val="Palatino Linotype"/>
        <family val="1"/>
      </rPr>
      <t xml:space="preserve"> period</t>
    </r>
    <r>
      <rPr>
        <sz val="11"/>
        <color indexed="8"/>
        <rFont val="Palatino Linotype"/>
        <family val="1"/>
      </rPr>
      <t xml:space="preserve"> and </t>
    </r>
    <r>
      <rPr>
        <b/>
        <sz val="11"/>
        <color indexed="8"/>
        <rFont val="Palatino Linotype"/>
        <family val="1"/>
      </rPr>
      <t>all test periods</t>
    </r>
    <r>
      <rPr>
        <sz val="11"/>
        <color indexed="8"/>
        <rFont val="Palatino Linotype"/>
        <family val="1"/>
      </rPr>
      <t>:</t>
    </r>
  </si>
  <si>
    <t>• Temperatures from thermocouple grid</t>
  </si>
  <si>
    <t>Step 10</t>
  </si>
  <si>
    <t>Raw Data Import Instructions</t>
  </si>
  <si>
    <t>Import raw data into the appropriate data tabs (see instructions directly below)</t>
  </si>
  <si>
    <t>1. Nameplate showing model number and serial number (if applicable)</t>
  </si>
  <si>
    <t>4. Exact placement of all sensors on, in, or around the device</t>
  </si>
  <si>
    <t>2. FTC EnergyGuide and ENERGY STAR labels (if present)</t>
  </si>
  <si>
    <t>• Temperatures from jacket surface</t>
  </si>
  <si>
    <t>Enter all anomalies with the test.</t>
  </si>
  <si>
    <t>Nameplate Rate (Btu/h)</t>
  </si>
  <si>
    <t>Measured Rate (Btu/h)</t>
  </si>
  <si>
    <t>-</t>
  </si>
  <si>
    <t>sec</t>
  </si>
  <si>
    <t>Maximum Humidity During Test</t>
  </si>
  <si>
    <t>Time (Minutes)</t>
  </si>
  <si>
    <t>W</t>
  </si>
  <si>
    <t>Max Input Data</t>
  </si>
  <si>
    <t>Reduced Input Data</t>
  </si>
  <si>
    <t>Lab information, product information and test results</t>
  </si>
  <si>
    <t>Instrumentation requirements and space for sensor placement descriptions</t>
  </si>
  <si>
    <t>Table of test condition requirements for each test</t>
  </si>
  <si>
    <t>Calculates values at the maximum input rating</t>
  </si>
  <si>
    <t>Inputs for photographs</t>
  </si>
  <si>
    <t>Measurement inputs and automated calculations</t>
  </si>
  <si>
    <t>Inputs for report template user to provide comments</t>
  </si>
  <si>
    <t>Report review history</t>
  </si>
  <si>
    <t>Drop downs used and tables referenced</t>
  </si>
  <si>
    <t>Revision history</t>
  </si>
  <si>
    <t>• Temperatures from ambient thermocouples</t>
  </si>
  <si>
    <t>System Number:</t>
  </si>
  <si>
    <t>Nameplate Voltage (V):</t>
  </si>
  <si>
    <t>Heating Medium:</t>
  </si>
  <si>
    <t>Burner Type:</t>
  </si>
  <si>
    <t>Draft Equipment:</t>
  </si>
  <si>
    <t>NOTE: This is only a copy; sign off is done in the Report Sign-Off Block tab</t>
  </si>
  <si>
    <t>Control Type:</t>
  </si>
  <si>
    <t>Test Results</t>
  </si>
  <si>
    <t xml:space="preserve">Lab Information </t>
  </si>
  <si>
    <t>Instrumentation</t>
  </si>
  <si>
    <t>Off Period Minimum Flue Gas Temperature (Equilibrium)</t>
  </si>
  <si>
    <t>Raw data for the Max Test</t>
  </si>
  <si>
    <t>Raw data for the Reduced Test</t>
  </si>
  <si>
    <t>Yes_No</t>
  </si>
  <si>
    <t>Yes</t>
  </si>
  <si>
    <t>No</t>
  </si>
  <si>
    <t>Drop-Downs &amp; Tables</t>
  </si>
  <si>
    <t>Calculates values at the reduced input rating</t>
  </si>
  <si>
    <t>Reduced Test Required?</t>
  </si>
  <si>
    <r>
      <t>Table 7: Fuel Characteristics and Parameters for Calculating Steady-State Sensible Heat Loss{</t>
    </r>
    <r>
      <rPr>
        <b/>
        <i/>
        <sz val="11"/>
        <color indexed="8"/>
        <rFont val="Palatino Linotype"/>
        <family val="1"/>
      </rPr>
      <t>L</t>
    </r>
    <r>
      <rPr>
        <b/>
        <i/>
        <vertAlign val="subscript"/>
        <sz val="11"/>
        <color indexed="8"/>
        <rFont val="Palatino Linotype"/>
        <family val="1"/>
      </rPr>
      <t>S,SS</t>
    </r>
    <r>
      <rPr>
        <b/>
        <sz val="11"/>
        <color indexed="8"/>
        <rFont val="Palatino Linotype"/>
        <family val="1"/>
      </rPr>
      <t>} and Steady-State Efficiency {</t>
    </r>
    <r>
      <rPr>
        <b/>
        <i/>
        <sz val="11"/>
        <color indexed="8"/>
        <rFont val="Palatino Linotype"/>
        <family val="1"/>
      </rPr>
      <t>Effy</t>
    </r>
    <r>
      <rPr>
        <b/>
        <i/>
        <vertAlign val="subscript"/>
        <sz val="11"/>
        <color indexed="8"/>
        <rFont val="Palatino Linotype"/>
        <family val="1"/>
      </rPr>
      <t>SS</t>
    </r>
    <r>
      <rPr>
        <b/>
        <sz val="11"/>
        <color indexed="8"/>
        <rFont val="Palatino Linotype"/>
        <family val="1"/>
      </rPr>
      <t>}</t>
    </r>
  </si>
  <si>
    <t>Table 1: (from 8.2.1.3)</t>
  </si>
  <si>
    <t xml:space="preserve">Table 8: Output Capacity (Btu/h) DHR (kBtu/h) </t>
  </si>
  <si>
    <t>% (0-100)</t>
  </si>
  <si>
    <t>Jacket Loss Factor</t>
  </si>
  <si>
    <t>Heating Value (Btu/SCF)</t>
  </si>
  <si>
    <t>Specific Heat of Air</t>
  </si>
  <si>
    <t>Jacket Loss Factor Determination Method</t>
  </si>
  <si>
    <t>Default Value</t>
  </si>
  <si>
    <t>Optional Test</t>
  </si>
  <si>
    <t>Jacket_Loss</t>
  </si>
  <si>
    <t>Power Burner Draft Factor</t>
  </si>
  <si>
    <t>Off-Cycle Draft Factor for Flue Gas Flow</t>
  </si>
  <si>
    <t>Infiltration Parameter</t>
  </si>
  <si>
    <t>φ</t>
  </si>
  <si>
    <t>Input raw data from the efficient tests into the corresponding tabs located immediately after the Instructions tab.</t>
  </si>
  <si>
    <t>Optional Test Data</t>
  </si>
  <si>
    <t>Raw data for the Optional Test</t>
  </si>
  <si>
    <t>Reference Test Procedures</t>
  </si>
  <si>
    <r>
      <t>HHV</t>
    </r>
    <r>
      <rPr>
        <b/>
        <i/>
        <vertAlign val="subscript"/>
        <sz val="11"/>
        <color indexed="8"/>
        <rFont val="Palatino Linotype"/>
        <family val="1"/>
      </rPr>
      <t>A</t>
    </r>
  </si>
  <si>
    <r>
      <t>L</t>
    </r>
    <r>
      <rPr>
        <b/>
        <i/>
        <vertAlign val="subscript"/>
        <sz val="11"/>
        <color indexed="8"/>
        <rFont val="Palatino Linotype"/>
        <family val="1"/>
      </rPr>
      <t>L,A</t>
    </r>
  </si>
  <si>
    <t>Title Block</t>
  </si>
  <si>
    <t>Test Report Template Name:</t>
  </si>
  <si>
    <t>Calculated Result (rounded per significant figures conventions and instrumentation resolution)</t>
  </si>
  <si>
    <t>Tabs</t>
  </si>
  <si>
    <t>Tabs with input cells</t>
  </si>
  <si>
    <t>Tabs with space to paste raw data</t>
  </si>
  <si>
    <t>Cells</t>
  </si>
  <si>
    <t>Auto-populated cell</t>
  </si>
  <si>
    <t>Provided data</t>
  </si>
  <si>
    <t>Btu/lb</t>
  </si>
  <si>
    <t>10 CFR 430 Subpart B Appendix N:  Uniform Test Method for Measuring the Energy Consumption of Furnaces and Boilers</t>
  </si>
  <si>
    <t>11.6.1</t>
  </si>
  <si>
    <t>11.6.2</t>
  </si>
  <si>
    <t>11.6.3</t>
  </si>
  <si>
    <t>Percent by volume of measureable tracer gas in the standard tracer gas mixture</t>
  </si>
  <si>
    <t>Percent by volume of measured tracer gas in the flue gas sample</t>
  </si>
  <si>
    <t>Flow rate of tracer gas into heat exchanger during the measurement period</t>
  </si>
  <si>
    <r>
      <t>lb/ft</t>
    </r>
    <r>
      <rPr>
        <vertAlign val="superscript"/>
        <sz val="11"/>
        <color indexed="8"/>
        <rFont val="Palatino Linotype"/>
        <family val="1"/>
      </rPr>
      <t>3</t>
    </r>
  </si>
  <si>
    <t>Flue gas tempearture when sampled</t>
  </si>
  <si>
    <t>cfm</t>
  </si>
  <si>
    <t>Electrical Power Input to Interrupted Ignition Device</t>
  </si>
  <si>
    <t>Nameplate Ignition Device On-time Interval</t>
  </si>
  <si>
    <r>
      <t>Btu/ft</t>
    </r>
    <r>
      <rPr>
        <vertAlign val="superscript"/>
        <sz val="11"/>
        <color indexed="8"/>
        <rFont val="Palatino Linotype"/>
        <family val="1"/>
      </rPr>
      <t>3</t>
    </r>
  </si>
  <si>
    <t>Fuel Energy Input During Steady State Condesnate Collection Period</t>
  </si>
  <si>
    <t>Mass of Condensate Collected During Steady State Condensate Collection Period</t>
  </si>
  <si>
    <t>Maximum Humidity During Steady-State Condensate Collection</t>
  </si>
  <si>
    <t>Is post purge time &lt;5 seconds?</t>
  </si>
  <si>
    <t>Was optional tracer gas test performed that indicates no flow through the heat exchanger when the burner is off?</t>
  </si>
  <si>
    <t>If the answer to the two above questions is "Yes" for both, the heat-up and cool-down tests are optional. Were the heat-up and cool-down tests performed?</t>
  </si>
  <si>
    <t>Consumer Boiler</t>
  </si>
  <si>
    <t>v0.1</t>
  </si>
  <si>
    <t>Table 2: (from 8.2.2.4.1)</t>
  </si>
  <si>
    <t>Properties</t>
  </si>
  <si>
    <t>Min</t>
  </si>
  <si>
    <t>Max</t>
  </si>
  <si>
    <t>No. 1</t>
  </si>
  <si>
    <t>No. 2</t>
  </si>
  <si>
    <t>Gravity, degree API*</t>
  </si>
  <si>
    <r>
      <t>Viscosity: Saybolt universal at 100</t>
    </r>
    <r>
      <rPr>
        <sz val="11"/>
        <color indexed="8"/>
        <rFont val="Calibri"/>
        <family val="2"/>
      </rPr>
      <t>°</t>
    </r>
    <r>
      <rPr>
        <sz val="11"/>
        <color indexed="8"/>
        <rFont val="Palatino Linotype"/>
        <family val="1"/>
      </rPr>
      <t>F</t>
    </r>
  </si>
  <si>
    <t>Percent of carbon residue on 10% residum</t>
  </si>
  <si>
    <t>*Gravity and viscosity shall conform to the above limits. Other properties shall conform to the limits of ASTM D396-90A (see Table 3)</t>
  </si>
  <si>
    <t>**Carbon residue for other than atomizing burners.</t>
  </si>
  <si>
    <t>Table 3: (from 8.3.1.2)</t>
  </si>
  <si>
    <t>Grade of Fuel Oil</t>
  </si>
  <si>
    <t>Water and Sediment</t>
  </si>
  <si>
    <t>F</t>
  </si>
  <si>
    <t>% by Vol.</t>
  </si>
  <si>
    <t>Pour Point</t>
  </si>
  <si>
    <t>Flash Point</t>
  </si>
  <si>
    <t>Carbon on 10% Bottoms</t>
  </si>
  <si>
    <t>%</t>
  </si>
  <si>
    <t>Distillation Temperatures</t>
  </si>
  <si>
    <t>Saybolt Viscosity</t>
  </si>
  <si>
    <t>Kinematic Viscosity</t>
  </si>
  <si>
    <t>Gravity</t>
  </si>
  <si>
    <t>Copper Strip Corrosion</t>
  </si>
  <si>
    <t>Sulfur</t>
  </si>
  <si>
    <t>10% Point</t>
  </si>
  <si>
    <t>90% Point</t>
  </si>
  <si>
    <t>Universal at 100F</t>
  </si>
  <si>
    <t>At 100F</t>
  </si>
  <si>
    <t>centistokes</t>
  </si>
  <si>
    <t>deg API</t>
  </si>
  <si>
    <t>No. 1 A distillate oil intended for vaporizing pot-type burners and other burners requiring this grade of fuel</t>
  </si>
  <si>
    <t>No. 2 A distillate oil for general purpose domestic heating for use in burners not requiring No. 1 fuel oil</t>
  </si>
  <si>
    <t>Trace</t>
  </si>
  <si>
    <t>No. 3</t>
  </si>
  <si>
    <t>??</t>
  </si>
  <si>
    <t>a lt is the intent of lhese classifications lhat failure to meet any requirement of a given grade does not automatically place an oil in the next lower grade unless in fact it meets all requirements of the lower grade.</t>
  </si>
  <si>
    <t>b Outside USA, the sulfur limit for No. 2 shall be 1.0%.</t>
  </si>
  <si>
    <t>c Legal requirements to be met.</t>
  </si>
  <si>
    <t>d Lower or higher pour points may be specified whenever required by conditions of storage or use. When point less than 0°F is specified, the minimum viscosity shall be 1.8 cSt (32.0 sec Saybolt Universal) and the minimum 90% point shall be waived.</t>
  </si>
  <si>
    <t>e The 10% distillation temperature point may be specified at 440°F (226°C) maximum for use in other lhan atomizing burners.</t>
  </si>
  <si>
    <t>f Viscosity values in parentheses are for information only and not necessarily limiting.</t>
  </si>
  <si>
    <t>g The amount of water by distillation plus the sediment by extraction shall not exceed 2.00%. The amount of sediment by extraction shall not exceed 0.50%. A deduction in quantity shall be made for all water and sediment in excess of 1.0%.</t>
  </si>
  <si>
    <t>Oil Furnace with a Temperature Rise Less Than or Equal to 65F</t>
  </si>
  <si>
    <t>Oil Furnace with a Temperature Rise Greater Than 65F</t>
  </si>
  <si>
    <t>Gas Furnace</t>
  </si>
  <si>
    <t>Table 4: Relation of Furnace input to Minimum External Static Pressure* for Performance and Rating Test Purposes (All tests preformed without a filter)</t>
  </si>
  <si>
    <t>* These static pressures apply for operation at maximum rated input only.</t>
  </si>
  <si>
    <t>Table 5: Minimum External Static Pressure for Electric Central Furnaces</t>
  </si>
  <si>
    <t>Standard Air Quantity</t>
  </si>
  <si>
    <t>scfm</t>
  </si>
  <si>
    <t>Min. External Static Pressure</t>
  </si>
  <si>
    <t>in. water</t>
  </si>
  <si>
    <t>Table 6: System Numbers</t>
  </si>
  <si>
    <t>Locate the column where all the characteristics arc applicable to the equipment under test.</t>
  </si>
  <si>
    <t>Characteristics</t>
  </si>
  <si>
    <t>Indoor Combustion Air</t>
  </si>
  <si>
    <t>Outdoor, Direct Vent or Isolated Combust. System</t>
  </si>
  <si>
    <t>Draft Hood or Draft Diverter</t>
  </si>
  <si>
    <t>Barometric Draft Control</t>
  </si>
  <si>
    <t>Electrical/Mechanical Stack Damper</t>
  </si>
  <si>
    <t>Atmospheric Burner</t>
  </si>
  <si>
    <t>Power Burner</t>
  </si>
  <si>
    <t>Burner Inlet Damper or Flue Damper**</t>
  </si>
  <si>
    <t>DF</t>
  </si>
  <si>
    <t>* For direct vent or atmospheric burner w/bumer inlet damper or flue damper that closes within 10 seconds after the burner shuts off.</t>
  </si>
  <si>
    <t>** Power burner may or may not have electro-mechanical inlet or flue damper.</t>
  </si>
  <si>
    <t>Note: System 7 was intentionally omitted.</t>
  </si>
  <si>
    <t>X</t>
  </si>
  <si>
    <t>Direct Exhaust</t>
  </si>
  <si>
    <t>*</t>
  </si>
  <si>
    <t>DO</t>
  </si>
  <si>
    <t>1.4 or test#</t>
  </si>
  <si>
    <t>* Calculated from CO2 values.</t>
  </si>
  <si>
    <t>kBtu/h</t>
  </si>
  <si>
    <t>Average Design Heating Requirements (DHR)</t>
  </si>
  <si>
    <t>Typical Design Heating Requirements</t>
  </si>
  <si>
    <t>5, 10</t>
  </si>
  <si>
    <t>10, 15</t>
  </si>
  <si>
    <t>15, 20, 25</t>
  </si>
  <si>
    <t>25, 30, 35, 40</t>
  </si>
  <si>
    <t>35, 40, 45, 50</t>
  </si>
  <si>
    <t>40, 45, 50, 60</t>
  </si>
  <si>
    <t>50, 60, 70, 80</t>
  </si>
  <si>
    <t>60, 70, 80, 90</t>
  </si>
  <si>
    <t>70, 80, 90, 100</t>
  </si>
  <si>
    <t>80, 90, 100, 110, 120</t>
  </si>
  <si>
    <t>90, 100, 110, 120, 130</t>
  </si>
  <si>
    <t>100, 110, 120, 130, 140</t>
  </si>
  <si>
    <t>120, 130, 140, 150, 160</t>
  </si>
  <si>
    <t>Table 10: Fractional Heating Loads and Average Outdoor Temperatures for Furnaces and Boilers Equipped with Modulating Controls</t>
  </si>
  <si>
    <t>Table 9: Average Burner On-Time and Off-Time Per Cycle for Furnaces and Boilers (Minutes}</t>
  </si>
  <si>
    <t>Furnaces</t>
  </si>
  <si>
    <t>Boilers</t>
  </si>
  <si>
    <t>Control Type</t>
  </si>
  <si>
    <t>Two Stage</t>
  </si>
  <si>
    <r>
      <t>t</t>
    </r>
    <r>
      <rPr>
        <b/>
        <vertAlign val="subscript"/>
        <sz val="11"/>
        <color rgb="FF000000"/>
        <rFont val="Palatino Linotype"/>
        <family val="1"/>
      </rPr>
      <t>on</t>
    </r>
  </si>
  <si>
    <r>
      <t>t</t>
    </r>
    <r>
      <rPr>
        <b/>
        <vertAlign val="subscript"/>
        <sz val="11"/>
        <color rgb="FF000000"/>
        <rFont val="Palatino Linotype"/>
        <family val="1"/>
      </rPr>
      <t>off</t>
    </r>
  </si>
  <si>
    <t>Reduced Rate</t>
  </si>
  <si>
    <t>Modulating or Maximum Rate</t>
  </si>
  <si>
    <t>Fractional Heating Load</t>
  </si>
  <si>
    <t>Average Outdoor Temperature (F)</t>
  </si>
  <si>
    <t>Balance Point Temperature Range (F)</t>
  </si>
  <si>
    <r>
      <t>T</t>
    </r>
    <r>
      <rPr>
        <b/>
        <vertAlign val="subscript"/>
        <sz val="11"/>
        <color rgb="FF000000"/>
        <rFont val="Palatino Linotype"/>
        <family val="1"/>
      </rPr>
      <t>C</t>
    </r>
  </si>
  <si>
    <r>
      <t>X</t>
    </r>
    <r>
      <rPr>
        <b/>
        <vertAlign val="subscript"/>
        <sz val="11"/>
        <color rgb="FF000000"/>
        <rFont val="Palatino Linotype"/>
        <family val="1"/>
      </rPr>
      <t>R</t>
    </r>
  </si>
  <si>
    <r>
      <t>X</t>
    </r>
    <r>
      <rPr>
        <b/>
        <vertAlign val="subscript"/>
        <sz val="11"/>
        <color rgb="FF000000"/>
        <rFont val="Palatino Linotype"/>
        <family val="1"/>
      </rPr>
      <t>H</t>
    </r>
  </si>
  <si>
    <r>
      <t>T</t>
    </r>
    <r>
      <rPr>
        <b/>
        <vertAlign val="subscript"/>
        <sz val="11"/>
        <color rgb="FF000000"/>
        <rFont val="Palatino Linotype"/>
        <family val="1"/>
      </rPr>
      <t>OA,R</t>
    </r>
  </si>
  <si>
    <r>
      <t>T</t>
    </r>
    <r>
      <rPr>
        <b/>
        <vertAlign val="subscript"/>
        <sz val="11"/>
        <color rgb="FF000000"/>
        <rFont val="Palatino Linotype"/>
        <family val="1"/>
      </rPr>
      <t>OA,H</t>
    </r>
  </si>
  <si>
    <t>NOTE: This table is based on national average 5,200 degree-days.</t>
  </si>
  <si>
    <t>No. 1 Fuel Oil</t>
  </si>
  <si>
    <t>No. 2 Fuel Oil</t>
  </si>
  <si>
    <t>Electricity</t>
  </si>
  <si>
    <t>Atmospheric</t>
  </si>
  <si>
    <t>Steam</t>
  </si>
  <si>
    <t>Water</t>
  </si>
  <si>
    <t>Heating Fuel Used:</t>
  </si>
  <si>
    <t>Indoor</t>
  </si>
  <si>
    <t>Outdoor</t>
  </si>
  <si>
    <t>Combustion_Air</t>
  </si>
  <si>
    <t>Stack Damper:</t>
  </si>
  <si>
    <t>Burner Inlet or Flue Damper?</t>
  </si>
  <si>
    <t>(Used to determine System Number)</t>
  </si>
  <si>
    <t>Tables from ASHRAE 103-1993</t>
  </si>
  <si>
    <t xml:space="preserve">Product Class: </t>
  </si>
  <si>
    <t>Stack Gas Temperature (°F)</t>
  </si>
  <si>
    <t>Outlet Water Temperature (°F)</t>
  </si>
  <si>
    <t>(May or may not be present. Does not affect the results.)</t>
  </si>
  <si>
    <t>Tolerances met?</t>
  </si>
  <si>
    <t>Tolerance Check</t>
  </si>
  <si>
    <t>Was the boiler pump electrical usage captured in the steady-state measurement?</t>
  </si>
  <si>
    <t>Steady State Electrical Power to Burner (including energizing the ignition system, controls, gas valve or oil control valve, draft inducer, and boiler pump)</t>
  </si>
  <si>
    <t>Boiler Pump Nameplate Power, if applicable (enter 0.13 if not available)</t>
  </si>
  <si>
    <t>Steady State Electrical Power to Burner</t>
  </si>
  <si>
    <t>Draft Hood</t>
  </si>
  <si>
    <t>Integral Draft Diverter</t>
  </si>
  <si>
    <t>Nameplate Input Rate</t>
  </si>
  <si>
    <t>Time delay between burner shut-off and pump shut-off</t>
  </si>
  <si>
    <r>
      <rPr>
        <b/>
        <sz val="11"/>
        <color rgb="FF000000"/>
        <rFont val="Palatino Linotype"/>
        <family val="1"/>
      </rPr>
      <t>Appendix N, Section 8.3:  Input to interrupted ignition device.</t>
    </r>
    <r>
      <rPr>
        <b/>
        <i/>
        <sz val="11"/>
        <color rgb="FF000000"/>
        <rFont val="Palatino Linotype"/>
        <family val="1"/>
      </rPr>
      <t xml:space="preserve"> 
</t>
    </r>
    <r>
      <rPr>
        <i/>
        <sz val="11"/>
        <color indexed="8"/>
        <rFont val="Palatino Linotype"/>
        <family val="1"/>
      </rPr>
      <t>For burners equipped with an interrupted ignition device, record the nameplate electric power used by the ignition device, PE</t>
    </r>
    <r>
      <rPr>
        <i/>
        <vertAlign val="subscript"/>
        <sz val="11"/>
        <color rgb="FF000000"/>
        <rFont val="Palatino Linotype"/>
        <family val="1"/>
      </rPr>
      <t>IG</t>
    </r>
    <r>
      <rPr>
        <i/>
        <sz val="11"/>
        <color indexed="8"/>
        <rFont val="Palatino Linotype"/>
        <family val="1"/>
      </rPr>
      <t>, or record that PE</t>
    </r>
    <r>
      <rPr>
        <i/>
        <vertAlign val="subscript"/>
        <sz val="11"/>
        <color rgb="FF000000"/>
        <rFont val="Palatino Linotype"/>
        <family val="1"/>
      </rPr>
      <t>IG</t>
    </r>
    <r>
      <rPr>
        <i/>
        <sz val="11"/>
        <color indexed="8"/>
        <rFont val="Palatino Linotype"/>
        <family val="1"/>
      </rPr>
      <t xml:space="preserve"> = 0.4 kW if no nameplate power input is provided. Record the nameplate ignition device on-time interval, t</t>
    </r>
    <r>
      <rPr>
        <i/>
        <vertAlign val="subscript"/>
        <sz val="11"/>
        <color rgb="FF000000"/>
        <rFont val="Palatino Linotype"/>
        <family val="1"/>
      </rPr>
      <t>IG</t>
    </r>
    <r>
      <rPr>
        <i/>
        <sz val="11"/>
        <color indexed="8"/>
        <rFont val="Palatino Linotype"/>
        <family val="1"/>
      </rPr>
      <t>, or, if the nameplate does not provide the ignition device on-time interval, measure the on-time interval with a stopwatch at the beginning of the test, starting when the burner is turned on. Set t</t>
    </r>
    <r>
      <rPr>
        <i/>
        <vertAlign val="subscript"/>
        <sz val="11"/>
        <color rgb="FF000000"/>
        <rFont val="Palatino Linotype"/>
        <family val="1"/>
      </rPr>
      <t>IG</t>
    </r>
    <r>
      <rPr>
        <i/>
        <sz val="11"/>
        <color indexed="8"/>
        <rFont val="Palatino Linotype"/>
        <family val="1"/>
      </rPr>
      <t xml:space="preserve"> = 0 and PE</t>
    </r>
    <r>
      <rPr>
        <i/>
        <vertAlign val="subscript"/>
        <sz val="11"/>
        <color rgb="FF000000"/>
        <rFont val="Palatino Linotype"/>
        <family val="1"/>
      </rPr>
      <t>IG</t>
    </r>
    <r>
      <rPr>
        <i/>
        <sz val="11"/>
        <color indexed="8"/>
        <rFont val="Palatino Linotype"/>
        <family val="1"/>
      </rPr>
      <t xml:space="preserve"> = 0 if the device on-time interval is less than or equal to 5 seconds after the burner is on.</t>
    </r>
  </si>
  <si>
    <r>
      <rPr>
        <b/>
        <sz val="11"/>
        <color rgb="FF000000"/>
        <rFont val="Palatino Linotype"/>
        <family val="1"/>
      </rPr>
      <t>Appendix N, Section 8.1:  Fuel input.</t>
    </r>
    <r>
      <rPr>
        <i/>
        <sz val="11"/>
        <color indexed="8"/>
        <rFont val="Palatino Linotype"/>
        <family val="1"/>
      </rPr>
      <t xml:space="preserve"> 
For gas units, measure and record the steady-state gas input rate in Btu/hr, including pilot gas, corrected to standard conditions of 60 °F and 30 in. Hg. Use measured values of gas temperature and pressure at the meter and barometric pressure to correct the metered gas flow rate to the above standard conditions. For oil units, measure and record the steady-state fuel input rate.</t>
    </r>
  </si>
  <si>
    <r>
      <rPr>
        <b/>
        <sz val="11"/>
        <color rgb="FF000000"/>
        <rFont val="Palatino Linotype"/>
        <family val="1"/>
      </rPr>
      <t>Appendix N, Section 8.2:  Electrical input.</t>
    </r>
    <r>
      <rPr>
        <sz val="11"/>
        <color rgb="FF000000"/>
        <rFont val="Palatino Linotype"/>
        <family val="1"/>
      </rPr>
      <t xml:space="preserve"> 
</t>
    </r>
    <r>
      <rPr>
        <i/>
        <sz val="11"/>
        <color indexed="8"/>
        <rFont val="Palatino Linotype"/>
        <family val="1"/>
      </rPr>
      <t>For furnaces and boilers, during the steady-state test, perform a single measurement of all of the electrical power involved in burner operation (PE), including energizing the ignition system, controls, gas valve or oil control valve, and draft inducer, if applicable. For boilers, the measurement of PE must include the boiler pump if so equipped. If the boiler pump does not operate during the measurement of PE, add the boiler pump nameplate power to the measurement of PE. If the boiler pump nameplate power is not available, use 0.13 kW.</t>
    </r>
  </si>
  <si>
    <t>(Enter 0 if less than or equal to 30 seconds and 180 if greater than or equal to 180 seconds)</t>
  </si>
  <si>
    <t>Does the boiler employ a post-purge?</t>
  </si>
  <si>
    <t>Does the boiler have a pump delay?</t>
  </si>
  <si>
    <t>Flue Gas Temperature at 1.0 minutes after main burner comes on</t>
  </si>
  <si>
    <t>Flue Gas Temperature at 5.5 minutes after main burner comes on</t>
  </si>
  <si>
    <t>t+</t>
  </si>
  <si>
    <t>Temperature of tracer gas entering the flowmeter</t>
  </si>
  <si>
    <t>Barometric Pressure</t>
  </si>
  <si>
    <t>in. HG</t>
  </si>
  <si>
    <t>Mass of Condensate</t>
  </si>
  <si>
    <t>Test Cycle</t>
  </si>
  <si>
    <t>4, if necessary</t>
  </si>
  <si>
    <t>5, if necessary</t>
  </si>
  <si>
    <t>6, if necessary</t>
  </si>
  <si>
    <t>(including any pilot light input)</t>
  </si>
  <si>
    <t>Steady-State Conditions Met?</t>
  </si>
  <si>
    <t>Power Input</t>
  </si>
  <si>
    <t>This only needs to be performed once in the Max Test. Results are shown here also for reference.</t>
  </si>
  <si>
    <t>Dates Valid?</t>
  </si>
  <si>
    <t>Measurement</t>
  </si>
  <si>
    <t>Propane Gas</t>
  </si>
  <si>
    <t>Butane Gas</t>
  </si>
  <si>
    <t>Isolated Combustion System</t>
  </si>
  <si>
    <t>Installation:</t>
  </si>
  <si>
    <r>
      <t>Manufacturer Recommended CO</t>
    </r>
    <r>
      <rPr>
        <vertAlign val="subscript"/>
        <sz val="11"/>
        <color rgb="FF000000"/>
        <rFont val="Palatino Linotype"/>
        <family val="1"/>
      </rPr>
      <t>2</t>
    </r>
    <r>
      <rPr>
        <sz val="11"/>
        <color indexed="8"/>
        <rFont val="Palatino Linotype"/>
        <family val="1"/>
      </rPr>
      <t xml:space="preserve"> Reading:</t>
    </r>
  </si>
  <si>
    <t>Jacket Loss</t>
  </si>
  <si>
    <t>Ratio of Combustion and Relief Air to Stoichiometric Air</t>
  </si>
  <si>
    <t>Ratio of Combustion Air to Stoichiometric Air</t>
  </si>
  <si>
    <t>Average Ratio of Stack Gas to Flue Gas Mass Flow Rate</t>
  </si>
  <si>
    <t>Stack Gas Temperature Difference</t>
  </si>
  <si>
    <t>Flue Gas Temperature Difference</t>
  </si>
  <si>
    <t>Average Sensible Heat Loss at Steady-State Operation</t>
  </si>
  <si>
    <t>Steady-State Efficiency</t>
  </si>
  <si>
    <t>Steady-State Nameplate Input Rate</t>
  </si>
  <si>
    <t>Finned-Tube Boiler?</t>
  </si>
  <si>
    <t>Jacket Loss Installation Adjustment Factor</t>
  </si>
  <si>
    <t>Oversize Factor</t>
  </si>
  <si>
    <t>Multiplication Factor for Sensible Heat Loss During Burner On-Cycle</t>
  </si>
  <si>
    <t>Multiplication Factor for Infiltration Loss During Burner On-Cycle</t>
  </si>
  <si>
    <t>Measured Stack Gas Temperature at Steady State</t>
  </si>
  <si>
    <t>Measured Room Temperature of Conditioned Space</t>
  </si>
  <si>
    <t>Measure Flue Gas Temperature at Steady-State</t>
  </si>
  <si>
    <t>Equivalent Field Stade Gas Temperature at Full-Load Steady-State Operation</t>
  </si>
  <si>
    <r>
      <t>Flue Gas Temperature Measured at Time t</t>
    </r>
    <r>
      <rPr>
        <vertAlign val="subscript"/>
        <sz val="11"/>
        <color rgb="FF000000"/>
        <rFont val="Palatino Linotype"/>
        <family val="1"/>
      </rPr>
      <t>1</t>
    </r>
  </si>
  <si>
    <r>
      <t>Flue Gas Temperature Measured at Time t</t>
    </r>
    <r>
      <rPr>
        <vertAlign val="subscript"/>
        <sz val="11"/>
        <color rgb="FF000000"/>
        <rFont val="Palatino Linotype"/>
        <family val="1"/>
      </rPr>
      <t>2</t>
    </r>
  </si>
  <si>
    <t>On-Cycle Time Constant</t>
  </si>
  <si>
    <t>Effective Flue Gas Temperature Difference at Start-up</t>
  </si>
  <si>
    <t>Post-Purge Period</t>
  </si>
  <si>
    <r>
      <t>Flue Gas Temperature Measured at Time t</t>
    </r>
    <r>
      <rPr>
        <vertAlign val="subscript"/>
        <sz val="11"/>
        <color rgb="FF000000"/>
        <rFont val="Palatino Linotype"/>
        <family val="1"/>
      </rPr>
      <t>3</t>
    </r>
  </si>
  <si>
    <r>
      <t>Flue Gas Temperature Measured at Time t</t>
    </r>
    <r>
      <rPr>
        <vertAlign val="subscript"/>
        <sz val="11"/>
        <color rgb="FF000000"/>
        <rFont val="Palatino Linotype"/>
        <family val="1"/>
      </rPr>
      <t>4</t>
    </r>
  </si>
  <si>
    <r>
      <t>Flue Gas Temperature Measured at Time t</t>
    </r>
    <r>
      <rPr>
        <vertAlign val="subscript"/>
        <sz val="11"/>
        <color rgb="FF000000"/>
        <rFont val="Palatino Linotype"/>
        <family val="1"/>
      </rPr>
      <t>5</t>
    </r>
  </si>
  <si>
    <t>Off-Cycle Time Constant</t>
  </si>
  <si>
    <t>Effective Flue Gas Temperature Difference at Shutdown</t>
  </si>
  <si>
    <t>Minimum Flue Gas Temperature Difference above Room Temperature</t>
  </si>
  <si>
    <t>`+ For atmospheric burner w/burner inlet damper or flue damper that closes within 10 seconds after the burner shuts off.</t>
  </si>
  <si>
    <t>Off-Cycle Flue Gas Draft Factor</t>
  </si>
  <si>
    <t>Minimun Stack Gas Temperature Difference above Room Temperature</t>
  </si>
  <si>
    <t>Effective Stack Gas Temperature Difference at Shutdown</t>
  </si>
  <si>
    <t>Ratio of Average Burner On-Time Per Cycle to On-Cycle Time Constant</t>
  </si>
  <si>
    <t>Average Burner On-Time Per Cycle</t>
  </si>
  <si>
    <t>Average Burner Off-Time Per Cycle</t>
  </si>
  <si>
    <t>Ratio of Average Burner Off-Time Per Cycle to Off-Cycle Time Constant</t>
  </si>
  <si>
    <t>Start-up Burner Cycling Effect Correction Factor</t>
  </si>
  <si>
    <t>Shutdown Burner Cycling Effect Correction Factor</t>
  </si>
  <si>
    <t>Correction Factor for Units using Intermittent or Interrupted Ignition Devices</t>
  </si>
  <si>
    <t>Off-Period Correction Factor for Outdoor Units, Units Intended for Installation in Unheated Spaces, or Direct Vent Units</t>
  </si>
  <si>
    <t>Effective Flue Gas Temperature Difference at Burner Shutdown, Corrected for Burner Cycling Effect</t>
  </si>
  <si>
    <t>Effective Stack Gas Temperature Difference at Burner Shutdown, Corrected for Burner Cycling Effect</t>
  </si>
  <si>
    <t>Stack Damper Effectiveness Factor</t>
  </si>
  <si>
    <t>Infiltration Correction Factor for Stack Damper Effectiveness</t>
  </si>
  <si>
    <t>Off-Cycle Sensible Heat Loss Integration Factors</t>
  </si>
  <si>
    <t>F3</t>
  </si>
  <si>
    <t>F4</t>
  </si>
  <si>
    <t>F5</t>
  </si>
  <si>
    <t>F6</t>
  </si>
  <si>
    <t>F7</t>
  </si>
  <si>
    <t>Off-Cycle Infiltration Heat Loss Integration Factors</t>
  </si>
  <si>
    <t>F8</t>
  </si>
  <si>
    <t>Effective Flue Gas Temperature Difference at Burner Start-Up, Corrected for Burner Cycling Effect</t>
  </si>
  <si>
    <t>Multiplication Factor for Sensible Heat Loss During Burner Off-Cycle</t>
  </si>
  <si>
    <t>Multiplication Factor for Infiltration Loss During Burner Off-Cycle</t>
  </si>
  <si>
    <t>On-Cycle Sensible Heat Loss</t>
  </si>
  <si>
    <t>Off-Cycle Sensible Heat Loss</t>
  </si>
  <si>
    <t>On-Cycle Infiltration Heat Loss</t>
  </si>
  <si>
    <t>Off-Cycle Infiltration Heat Loss</t>
  </si>
  <si>
    <t>Pilot Flame Fuel Input Rate</t>
  </si>
  <si>
    <r>
      <t>L</t>
    </r>
    <r>
      <rPr>
        <i/>
        <vertAlign val="subscript"/>
        <sz val="11"/>
        <color indexed="8"/>
        <rFont val="Palatino Linotype"/>
        <family val="1"/>
      </rPr>
      <t>G,SS</t>
    </r>
  </si>
  <si>
    <t>Latent Heat Gain Due to Condensation Under Steady-State Conditions</t>
  </si>
  <si>
    <r>
      <t>M</t>
    </r>
    <r>
      <rPr>
        <i/>
        <vertAlign val="subscript"/>
        <sz val="11"/>
        <color rgb="FF000000"/>
        <rFont val="Palatino Linotype"/>
        <family val="1"/>
      </rPr>
      <t>C</t>
    </r>
    <r>
      <rPr>
        <i/>
        <vertAlign val="subscript"/>
        <sz val="11"/>
        <color indexed="8"/>
        <rFont val="Palatino Linotype"/>
        <family val="1"/>
      </rPr>
      <t>,SS</t>
    </r>
  </si>
  <si>
    <r>
      <t>Q</t>
    </r>
    <r>
      <rPr>
        <i/>
        <vertAlign val="subscript"/>
        <sz val="11"/>
        <color rgb="FF000000"/>
        <rFont val="Palatino Linotype"/>
        <family val="1"/>
      </rPr>
      <t>C</t>
    </r>
    <r>
      <rPr>
        <i/>
        <vertAlign val="subscript"/>
        <sz val="11"/>
        <color indexed="8"/>
        <rFont val="Palatino Linotype"/>
        <family val="1"/>
      </rPr>
      <t>,SS</t>
    </r>
  </si>
  <si>
    <r>
      <t>L</t>
    </r>
    <r>
      <rPr>
        <i/>
        <vertAlign val="subscript"/>
        <sz val="11"/>
        <color indexed="8"/>
        <rFont val="Palatino Linotype"/>
        <family val="1"/>
      </rPr>
      <t>C,SS</t>
    </r>
  </si>
  <si>
    <t>Latent Heat Gain Under Part-Load Conditions</t>
  </si>
  <si>
    <t>Fuel Energy Input During Entire (3 or 6 test cycles) Cyclic Condensate Collection Test</t>
  </si>
  <si>
    <t>Part-Load Heat Loss Due to Condensate Going Down the Drain</t>
  </si>
  <si>
    <r>
      <t>R</t>
    </r>
    <r>
      <rPr>
        <vertAlign val="subscript"/>
        <sz val="11"/>
        <color rgb="FF000000"/>
        <rFont val="Palatino Linotype"/>
        <family val="1"/>
      </rPr>
      <t>T,F</t>
    </r>
  </si>
  <si>
    <r>
      <t>R</t>
    </r>
    <r>
      <rPr>
        <vertAlign val="subscript"/>
        <sz val="11"/>
        <color rgb="FF000000"/>
        <rFont val="Palatino Linotype"/>
        <family val="1"/>
      </rPr>
      <t>T,S</t>
    </r>
  </si>
  <si>
    <r>
      <t>T</t>
    </r>
    <r>
      <rPr>
        <vertAlign val="subscript"/>
        <sz val="11"/>
        <color rgb="FF000000"/>
        <rFont val="Palatino Linotype"/>
        <family val="1"/>
      </rPr>
      <t>RA</t>
    </r>
  </si>
  <si>
    <r>
      <t>T</t>
    </r>
    <r>
      <rPr>
        <vertAlign val="subscript"/>
        <sz val="11"/>
        <color rgb="FF000000"/>
        <rFont val="Palatino Linotype"/>
        <family val="1"/>
      </rPr>
      <t>S,SS,X</t>
    </r>
  </si>
  <si>
    <r>
      <t>ΔT</t>
    </r>
    <r>
      <rPr>
        <vertAlign val="subscript"/>
        <sz val="11"/>
        <color rgb="FF000000"/>
        <rFont val="Palatino Linotype"/>
        <family val="1"/>
      </rPr>
      <t>S,SS</t>
    </r>
  </si>
  <si>
    <r>
      <t>T</t>
    </r>
    <r>
      <rPr>
        <vertAlign val="subscript"/>
        <sz val="11"/>
        <color rgb="FF000000"/>
        <rFont val="Palatino Linotype"/>
        <family val="1"/>
      </rPr>
      <t>F,SS</t>
    </r>
  </si>
  <si>
    <r>
      <t>ΔT</t>
    </r>
    <r>
      <rPr>
        <vertAlign val="subscript"/>
        <sz val="11"/>
        <color rgb="FF000000"/>
        <rFont val="Palatino Linotype"/>
        <family val="1"/>
      </rPr>
      <t>F,SS</t>
    </r>
  </si>
  <si>
    <r>
      <t>L</t>
    </r>
    <r>
      <rPr>
        <vertAlign val="subscript"/>
        <sz val="11"/>
        <color indexed="8"/>
        <rFont val="Palatino Linotype"/>
        <family val="1"/>
      </rPr>
      <t>S,SS</t>
    </r>
  </si>
  <si>
    <r>
      <t>Effy</t>
    </r>
    <r>
      <rPr>
        <vertAlign val="subscript"/>
        <sz val="11"/>
        <color rgb="FF000000"/>
        <rFont val="Palatino Linotype"/>
        <family val="1"/>
      </rPr>
      <t>SS</t>
    </r>
  </si>
  <si>
    <r>
      <t>Q</t>
    </r>
    <r>
      <rPr>
        <vertAlign val="subscript"/>
        <sz val="11"/>
        <color rgb="FF000000"/>
        <rFont val="Palatino Linotype"/>
        <family val="1"/>
      </rPr>
      <t>IN</t>
    </r>
  </si>
  <si>
    <r>
      <t>L</t>
    </r>
    <r>
      <rPr>
        <vertAlign val="subscript"/>
        <sz val="11"/>
        <color rgb="FF000000"/>
        <rFont val="Palatino Linotype"/>
        <family val="1"/>
      </rPr>
      <t>J</t>
    </r>
  </si>
  <si>
    <r>
      <t>Q</t>
    </r>
    <r>
      <rPr>
        <vertAlign val="subscript"/>
        <sz val="11"/>
        <color rgb="FF000000"/>
        <rFont val="Palatino Linotype"/>
        <family val="1"/>
      </rPr>
      <t>OUT</t>
    </r>
  </si>
  <si>
    <r>
      <t>X</t>
    </r>
    <r>
      <rPr>
        <vertAlign val="subscript"/>
        <sz val="11"/>
        <color rgb="FF000000"/>
        <rFont val="Palatino Linotype"/>
        <family val="1"/>
      </rPr>
      <t>CO2,F</t>
    </r>
  </si>
  <si>
    <r>
      <t>X</t>
    </r>
    <r>
      <rPr>
        <vertAlign val="subscript"/>
        <sz val="11"/>
        <color rgb="FF000000"/>
        <rFont val="Palatino Linotype"/>
        <family val="1"/>
      </rPr>
      <t>CO2,S</t>
    </r>
  </si>
  <si>
    <r>
      <t>HHV</t>
    </r>
    <r>
      <rPr>
        <vertAlign val="subscript"/>
        <sz val="11"/>
        <color rgb="FF000000"/>
        <rFont val="Palatino Linotype"/>
        <family val="1"/>
      </rPr>
      <t>A</t>
    </r>
  </si>
  <si>
    <t>Max Input Rate</t>
  </si>
  <si>
    <t>Reduced Input Rate</t>
  </si>
  <si>
    <r>
      <t>L</t>
    </r>
    <r>
      <rPr>
        <vertAlign val="subscript"/>
        <sz val="11"/>
        <color rgb="FF000000"/>
        <rFont val="Palatino Linotype"/>
        <family val="1"/>
      </rPr>
      <t>L,A</t>
    </r>
  </si>
  <si>
    <t>Fraction of Heating Load at Maximun Fuel Input Rate Operating Mode</t>
  </si>
  <si>
    <t>Fraction of Heating Load at Reduced Fuel Input Rate Operating Mode</t>
  </si>
  <si>
    <r>
      <t>Q</t>
    </r>
    <r>
      <rPr>
        <i/>
        <vertAlign val="subscript"/>
        <sz val="11"/>
        <color rgb="FF000000"/>
        <rFont val="Palatino Linotype"/>
        <family val="1"/>
      </rPr>
      <t>IN</t>
    </r>
  </si>
  <si>
    <t>On-Period Mass Flow Rate</t>
  </si>
  <si>
    <t>Measured Mass Flow Rate</t>
  </si>
  <si>
    <r>
      <t>Density of flue gas at T</t>
    </r>
    <r>
      <rPr>
        <vertAlign val="subscript"/>
        <sz val="11"/>
        <color rgb="FF000000"/>
        <rFont val="Palatino Linotype"/>
        <family val="1"/>
      </rPr>
      <t>T</t>
    </r>
  </si>
  <si>
    <t>Temperature of Tracer Gas Entering the Flowmeter</t>
  </si>
  <si>
    <r>
      <t>Density of Flue Gas at T</t>
    </r>
    <r>
      <rPr>
        <vertAlign val="subscript"/>
        <sz val="11"/>
        <color rgb="FF000000"/>
        <rFont val="Palatino Linotype"/>
        <family val="1"/>
      </rPr>
      <t>T</t>
    </r>
  </si>
  <si>
    <t>Flow Rate of Tracer Gas into Heat Exchanger during the Measurement Period</t>
  </si>
  <si>
    <t>Percent by Volume of Measured Tracer Gas in the Flue Gas Sample</t>
  </si>
  <si>
    <t>Flue Gas Tempearture When Sampled</t>
  </si>
  <si>
    <t>Off-Period Mass Flow Rate</t>
  </si>
  <si>
    <t>Temperature of the Flue Gas When Sampled</t>
  </si>
  <si>
    <t>Was a draft maintained during the steady-state or cool-down tests?</t>
  </si>
  <si>
    <t>DP+</t>
  </si>
  <si>
    <t>DP</t>
  </si>
  <si>
    <t>DP*</t>
  </si>
  <si>
    <t>0.85xDO or 
(0.79+DP)/1.4xDO</t>
  </si>
  <si>
    <t>0.85 or 
(0.79+DP)/1.4</t>
  </si>
  <si>
    <t>Btu/(lb °F)</t>
  </si>
  <si>
    <t>Off-Cycle Sensible Heat Loss During the Post-Purge Period</t>
  </si>
  <si>
    <t>Off-Cycle Sensible Heat Loss After the Post-Purge Period</t>
  </si>
  <si>
    <r>
      <t>Flue Gas Temperature Measured at Time t</t>
    </r>
    <r>
      <rPr>
        <vertAlign val="subscript"/>
        <sz val="11"/>
        <color rgb="FF000000"/>
        <rFont val="Palatino Linotype"/>
        <family val="1"/>
      </rPr>
      <t>P</t>
    </r>
  </si>
  <si>
    <t>Off-Cycle Infiltration Heat Loss During the Post-Purge Period</t>
  </si>
  <si>
    <t>Off-Cycle Infiltration Heat Loss After the Post-Purge Period</t>
  </si>
  <si>
    <t>Part-Load Efficiency at Reduced Fuel Input Rate</t>
  </si>
  <si>
    <t>Part-Load Efficiency at Maximum Fuel Input Rate</t>
  </si>
  <si>
    <t>Fuel Energy Input During Steady State Condensate Collection Period</t>
  </si>
  <si>
    <t>Was a draft imposed during the steady-state or cool-down tests?</t>
  </si>
  <si>
    <t>Calculations Subsection</t>
  </si>
  <si>
    <r>
      <t>Concentration by Volume of CO</t>
    </r>
    <r>
      <rPr>
        <vertAlign val="subscript"/>
        <sz val="11"/>
        <color rgb="FF000000"/>
        <rFont val="Palatino Linotype"/>
        <family val="1"/>
      </rPr>
      <t>2</t>
    </r>
    <r>
      <rPr>
        <sz val="11"/>
        <color indexed="8"/>
        <rFont val="Palatino Linotype"/>
        <family val="1"/>
      </rPr>
      <t xml:space="preserve"> Present in Dry Flue Gas</t>
    </r>
  </si>
  <si>
    <r>
      <t>Concentration by Volume of CO</t>
    </r>
    <r>
      <rPr>
        <vertAlign val="subscript"/>
        <sz val="11"/>
        <color rgb="FF000000"/>
        <rFont val="Palatino Linotype"/>
        <family val="1"/>
      </rPr>
      <t>2</t>
    </r>
    <r>
      <rPr>
        <sz val="11"/>
        <color indexed="8"/>
        <rFont val="Palatino Linotype"/>
        <family val="1"/>
      </rPr>
      <t xml:space="preserve"> Present in Dry Stack Gas</t>
    </r>
  </si>
  <si>
    <t>Mass Ratio of Stoichiometric Air to Fuel</t>
  </si>
  <si>
    <t>Latent Heat Loss</t>
  </si>
  <si>
    <t>Higher Heating Value of the Fuel</t>
  </si>
  <si>
    <t>lb/min</t>
  </si>
  <si>
    <t>Time Step</t>
  </si>
  <si>
    <t>Heating Seasonal Efficiency, Steady-State Efficiency, and AFUE</t>
  </si>
  <si>
    <t>Electric Furnaces and Boilers</t>
  </si>
  <si>
    <t>Non-Condensing and Non-Modulating Gas or Oil Furnaces and Boilers</t>
  </si>
  <si>
    <t>Non-Modulating and Condensing Gas or Oil Furnaces and Boilers</t>
  </si>
  <si>
    <t>Modulating and Non-Condensing Gas or Oil Furnaces and Boilers</t>
  </si>
  <si>
    <t>Modulating and Condensing Gas or Oil Furnaces or Boilers</t>
  </si>
  <si>
    <t>Total Number of Time Steps</t>
  </si>
  <si>
    <t>Modified Ratio of Average Burner Off-Time Per Cycle to Off-Cycle Time Constant</t>
  </si>
  <si>
    <t>Correction Factor That Corrects for the Use of Outside Air for Combustion</t>
  </si>
  <si>
    <t>f(0)</t>
  </si>
  <si>
    <t>Integration Factor</t>
  </si>
  <si>
    <t>This calculation uses the Simpson's Rule to approximate the integrals located in Appendix E of the ANSI/ASHRAE test procedure.</t>
  </si>
  <si>
    <t>11.6.4</t>
  </si>
  <si>
    <t>Optionally Determined Power Burner Draft Factor</t>
  </si>
  <si>
    <t>11.7.1</t>
  </si>
  <si>
    <t>Optionally Determined Off-Cycle Flue Gas Draft Factor</t>
  </si>
  <si>
    <t>11.7.2</t>
  </si>
  <si>
    <t>Optionally Determined Off-Cycle Stack Gas Draft Factor</t>
  </si>
  <si>
    <t>11.8.1</t>
  </si>
  <si>
    <t>Off-Cycle Loss Factor</t>
  </si>
  <si>
    <t>11.8.2</t>
  </si>
  <si>
    <t>n</t>
  </si>
  <si>
    <t>t</t>
  </si>
  <si>
    <t>Fuel Supply Characteristics</t>
  </si>
  <si>
    <t>Input Voltage</t>
  </si>
  <si>
    <t>Jacket Loss Measurement</t>
  </si>
  <si>
    <t>Tracer Gas Draft Factors</t>
  </si>
  <si>
    <t>"Standby" and "Off" Power Measurement</t>
  </si>
  <si>
    <t>Maximum Differential</t>
  </si>
  <si>
    <t>Ω</t>
  </si>
  <si>
    <t>Radians</t>
  </si>
  <si>
    <t>Cross-Sectional Area of the Stack</t>
  </si>
  <si>
    <t>Net Area of a Stack Damper Plate</t>
  </si>
  <si>
    <t>Angle the Damper Makes, When Closed, With a Plane Perpendicular to the Axis of the Stack</t>
  </si>
  <si>
    <t>Open Area (Holes and Cutouts) in Stack Damper Plate</t>
  </si>
  <si>
    <t>Leakage Area Around Stack Damper Shaft and Damper Edges</t>
  </si>
  <si>
    <t>Time When Damper Starts to Close</t>
  </si>
  <si>
    <t>Duration of Damper Closing</t>
  </si>
  <si>
    <r>
      <t>in</t>
    </r>
    <r>
      <rPr>
        <vertAlign val="superscript"/>
        <sz val="11"/>
        <color rgb="FF000000"/>
        <rFont val="Palatino Linotype"/>
        <family val="1"/>
      </rPr>
      <t>2</t>
    </r>
  </si>
  <si>
    <r>
      <t>A</t>
    </r>
    <r>
      <rPr>
        <vertAlign val="subscript"/>
        <sz val="11"/>
        <color rgb="FF000000"/>
        <rFont val="Palatino Linotype"/>
        <family val="1"/>
      </rPr>
      <t>S</t>
    </r>
  </si>
  <si>
    <r>
      <t>A</t>
    </r>
    <r>
      <rPr>
        <vertAlign val="subscript"/>
        <sz val="11"/>
        <color rgb="FF000000"/>
        <rFont val="Palatino Linotype"/>
        <family val="1"/>
      </rPr>
      <t>D</t>
    </r>
  </si>
  <si>
    <r>
      <t>A</t>
    </r>
    <r>
      <rPr>
        <vertAlign val="subscript"/>
        <sz val="11"/>
        <color rgb="FF000000"/>
        <rFont val="Palatino Linotype"/>
        <family val="1"/>
      </rPr>
      <t>O,D</t>
    </r>
  </si>
  <si>
    <r>
      <t>A</t>
    </r>
    <r>
      <rPr>
        <vertAlign val="subscript"/>
        <sz val="11"/>
        <color rgb="FF000000"/>
        <rFont val="Palatino Linotype"/>
        <family val="1"/>
      </rPr>
      <t>O,L</t>
    </r>
  </si>
  <si>
    <r>
      <t>t</t>
    </r>
    <r>
      <rPr>
        <vertAlign val="subscript"/>
        <sz val="11"/>
        <color rgb="FF000000"/>
        <rFont val="Palatino Linotype"/>
        <family val="1"/>
      </rPr>
      <t>s</t>
    </r>
  </si>
  <si>
    <r>
      <t>t</t>
    </r>
    <r>
      <rPr>
        <vertAlign val="subscript"/>
        <sz val="11"/>
        <color rgb="FF000000"/>
        <rFont val="Palatino Linotype"/>
        <family val="1"/>
      </rPr>
      <t>d</t>
    </r>
  </si>
  <si>
    <r>
      <t>P</t>
    </r>
    <r>
      <rPr>
        <vertAlign val="subscript"/>
        <sz val="11"/>
        <color indexed="8"/>
        <rFont val="Palatino Linotype"/>
        <family val="1"/>
      </rPr>
      <t>W,SB</t>
    </r>
  </si>
  <si>
    <r>
      <t>P</t>
    </r>
    <r>
      <rPr>
        <vertAlign val="subscript"/>
        <sz val="11"/>
        <color indexed="8"/>
        <rFont val="Palatino Linotype"/>
        <family val="1"/>
      </rPr>
      <t>W,OFF</t>
    </r>
  </si>
  <si>
    <r>
      <t>D</t>
    </r>
    <r>
      <rPr>
        <vertAlign val="subscript"/>
        <sz val="11"/>
        <color indexed="8"/>
        <rFont val="Palatino Linotype"/>
        <family val="1"/>
      </rPr>
      <t>P</t>
    </r>
  </si>
  <si>
    <r>
      <t>D</t>
    </r>
    <r>
      <rPr>
        <vertAlign val="subscript"/>
        <sz val="11"/>
        <color indexed="8"/>
        <rFont val="Palatino Linotype"/>
        <family val="1"/>
      </rPr>
      <t>F</t>
    </r>
  </si>
  <si>
    <r>
      <t>L</t>
    </r>
    <r>
      <rPr>
        <vertAlign val="subscript"/>
        <sz val="11"/>
        <color indexed="8"/>
        <rFont val="Palatino Linotype"/>
        <family val="1"/>
      </rPr>
      <t>J</t>
    </r>
  </si>
  <si>
    <t>V</t>
  </si>
  <si>
    <t>Nameplate Voltage</t>
  </si>
  <si>
    <t>Minimum Voltage</t>
  </si>
  <si>
    <t>Maximum Voltage</t>
  </si>
  <si>
    <r>
      <t>A</t>
    </r>
    <r>
      <rPr>
        <vertAlign val="subscript"/>
        <sz val="11"/>
        <color rgb="FF000000"/>
        <rFont val="Palatino Linotype"/>
        <family val="1"/>
      </rPr>
      <t>O</t>
    </r>
  </si>
  <si>
    <r>
      <t>D</t>
    </r>
    <r>
      <rPr>
        <vertAlign val="subscript"/>
        <sz val="11"/>
        <color rgb="FF000000"/>
        <rFont val="Palatino Linotype"/>
        <family val="1"/>
      </rPr>
      <t>E</t>
    </r>
  </si>
  <si>
    <t>Minimum Opening (including Leakage) Area of the Damper When Closed</t>
  </si>
  <si>
    <t>Time When Damper Finishes Closing</t>
  </si>
  <si>
    <r>
      <t>t</t>
    </r>
    <r>
      <rPr>
        <vertAlign val="subscript"/>
        <sz val="11"/>
        <color rgb="FF000000"/>
        <rFont val="Palatino Linotype"/>
        <family val="1"/>
      </rPr>
      <t>e</t>
    </r>
  </si>
  <si>
    <t>Effective Minimun Flue Gas Temperature Difference above Room Temperature, Corrected for Burner Cycling Effect</t>
  </si>
  <si>
    <t>j</t>
  </si>
  <si>
    <t>Dimensionless Time Increment Given by 1/n</t>
  </si>
  <si>
    <r>
      <t>T</t>
    </r>
    <r>
      <rPr>
        <vertAlign val="subscript"/>
        <sz val="11"/>
        <color rgb="FF000000"/>
        <rFont val="Palatino Linotype"/>
        <family val="1"/>
      </rPr>
      <t>OA</t>
    </r>
  </si>
  <si>
    <r>
      <t>T</t>
    </r>
    <r>
      <rPr>
        <vertAlign val="subscript"/>
        <sz val="11"/>
        <color rgb="FF000000"/>
        <rFont val="Palatino Linotype"/>
        <family val="1"/>
      </rPr>
      <t>C</t>
    </r>
  </si>
  <si>
    <r>
      <t>X</t>
    </r>
    <r>
      <rPr>
        <vertAlign val="subscript"/>
        <sz val="11"/>
        <color rgb="FF000000"/>
        <rFont val="Palatino Linotype"/>
        <family val="1"/>
      </rPr>
      <t>H</t>
    </r>
  </si>
  <si>
    <r>
      <t>X</t>
    </r>
    <r>
      <rPr>
        <vertAlign val="subscript"/>
        <sz val="11"/>
        <color rgb="FF000000"/>
        <rFont val="Palatino Linotype"/>
        <family val="1"/>
      </rPr>
      <t>R</t>
    </r>
  </si>
  <si>
    <r>
      <t>Effy</t>
    </r>
    <r>
      <rPr>
        <vertAlign val="subscript"/>
        <sz val="11"/>
        <color rgb="FF000000"/>
        <rFont val="Palatino Linotype"/>
        <family val="1"/>
      </rPr>
      <t>SS,M</t>
    </r>
  </si>
  <si>
    <r>
      <t>Effy</t>
    </r>
    <r>
      <rPr>
        <vertAlign val="subscript"/>
        <sz val="11"/>
        <color rgb="FF000000"/>
        <rFont val="Palatino Linotype"/>
        <family val="1"/>
      </rPr>
      <t>SS,W</t>
    </r>
  </si>
  <si>
    <r>
      <t>Q</t>
    </r>
    <r>
      <rPr>
        <vertAlign val="subscript"/>
        <sz val="11"/>
        <color rgb="FF000000"/>
        <rFont val="Palatino Linotype"/>
        <family val="1"/>
      </rPr>
      <t>OUT,M</t>
    </r>
  </si>
  <si>
    <r>
      <t>C</t>
    </r>
    <r>
      <rPr>
        <vertAlign val="subscript"/>
        <sz val="11"/>
        <color rgb="FF000000"/>
        <rFont val="Palatino Linotype"/>
        <family val="1"/>
      </rPr>
      <t>P</t>
    </r>
  </si>
  <si>
    <r>
      <t>K</t>
    </r>
    <r>
      <rPr>
        <vertAlign val="subscript"/>
        <sz val="11"/>
        <color rgb="FF000000"/>
        <rFont val="Palatino Linotype"/>
        <family val="1"/>
      </rPr>
      <t>S,ON</t>
    </r>
  </si>
  <si>
    <r>
      <t>K</t>
    </r>
    <r>
      <rPr>
        <vertAlign val="subscript"/>
        <sz val="11"/>
        <color rgb="FF000000"/>
        <rFont val="Palatino Linotype"/>
        <family val="1"/>
      </rPr>
      <t>I,ON</t>
    </r>
  </si>
  <si>
    <r>
      <t>L</t>
    </r>
    <r>
      <rPr>
        <vertAlign val="subscript"/>
        <sz val="11"/>
        <color rgb="FF000000"/>
        <rFont val="Palatino Linotype"/>
        <family val="1"/>
      </rPr>
      <t>I,ON,M</t>
    </r>
  </si>
  <si>
    <r>
      <t>Effy</t>
    </r>
    <r>
      <rPr>
        <vertAlign val="subscript"/>
        <sz val="11"/>
        <color rgb="FF000000"/>
        <rFont val="Palatino Linotype"/>
        <family val="1"/>
      </rPr>
      <t>U,M</t>
    </r>
  </si>
  <si>
    <r>
      <t>T</t>
    </r>
    <r>
      <rPr>
        <vertAlign val="subscript"/>
        <sz val="11"/>
        <color rgb="FF000000"/>
        <rFont val="Palatino Linotype"/>
        <family val="1"/>
      </rPr>
      <t>S,SS</t>
    </r>
  </si>
  <si>
    <r>
      <t>t</t>
    </r>
    <r>
      <rPr>
        <vertAlign val="subscript"/>
        <sz val="11"/>
        <color rgb="FF000000"/>
        <rFont val="Palatino Linotype"/>
        <family val="1"/>
      </rPr>
      <t>1</t>
    </r>
  </si>
  <si>
    <r>
      <t>t</t>
    </r>
    <r>
      <rPr>
        <vertAlign val="subscript"/>
        <sz val="11"/>
        <color rgb="FF000000"/>
        <rFont val="Palatino Linotype"/>
        <family val="1"/>
      </rPr>
      <t>2</t>
    </r>
  </si>
  <si>
    <r>
      <t>T</t>
    </r>
    <r>
      <rPr>
        <vertAlign val="subscript"/>
        <sz val="11"/>
        <color rgb="FF000000"/>
        <rFont val="Palatino Linotype"/>
        <family val="1"/>
      </rPr>
      <t>F,ON</t>
    </r>
    <r>
      <rPr>
        <sz val="11"/>
        <color indexed="8"/>
        <rFont val="Palatino Linotype"/>
        <family val="1"/>
      </rPr>
      <t>(t</t>
    </r>
    <r>
      <rPr>
        <vertAlign val="subscript"/>
        <sz val="11"/>
        <color rgb="FF000000"/>
        <rFont val="Palatino Linotype"/>
        <family val="1"/>
      </rPr>
      <t>1</t>
    </r>
    <r>
      <rPr>
        <sz val="11"/>
        <color indexed="8"/>
        <rFont val="Palatino Linotype"/>
        <family val="1"/>
      </rPr>
      <t>)</t>
    </r>
  </si>
  <si>
    <r>
      <t>T</t>
    </r>
    <r>
      <rPr>
        <vertAlign val="subscript"/>
        <sz val="11"/>
        <color rgb="FF000000"/>
        <rFont val="Palatino Linotype"/>
        <family val="1"/>
      </rPr>
      <t>F,ON</t>
    </r>
    <r>
      <rPr>
        <sz val="11"/>
        <color indexed="8"/>
        <rFont val="Palatino Linotype"/>
        <family val="1"/>
      </rPr>
      <t>(t</t>
    </r>
    <r>
      <rPr>
        <vertAlign val="subscript"/>
        <sz val="11"/>
        <color rgb="FF000000"/>
        <rFont val="Palatino Linotype"/>
        <family val="1"/>
      </rPr>
      <t>2</t>
    </r>
    <r>
      <rPr>
        <sz val="11"/>
        <color indexed="8"/>
        <rFont val="Palatino Linotype"/>
        <family val="1"/>
      </rPr>
      <t>)</t>
    </r>
  </si>
  <si>
    <r>
      <t>τ</t>
    </r>
    <r>
      <rPr>
        <vertAlign val="subscript"/>
        <sz val="11"/>
        <color rgb="FF000000"/>
        <rFont val="Palatino Linotype"/>
        <family val="1"/>
      </rPr>
      <t>ON</t>
    </r>
  </si>
  <si>
    <r>
      <t>θ</t>
    </r>
    <r>
      <rPr>
        <vertAlign val="subscript"/>
        <sz val="11"/>
        <color rgb="FF000000"/>
        <rFont val="Palatino Linotype"/>
        <family val="1"/>
      </rPr>
      <t>F,O,X</t>
    </r>
  </si>
  <si>
    <r>
      <t>t</t>
    </r>
    <r>
      <rPr>
        <vertAlign val="subscript"/>
        <sz val="11"/>
        <color rgb="FF000000"/>
        <rFont val="Palatino Linotype"/>
        <family val="1"/>
      </rPr>
      <t>3</t>
    </r>
  </si>
  <si>
    <r>
      <t>t</t>
    </r>
    <r>
      <rPr>
        <vertAlign val="subscript"/>
        <sz val="11"/>
        <color rgb="FF000000"/>
        <rFont val="Palatino Linotype"/>
        <family val="1"/>
      </rPr>
      <t>4</t>
    </r>
  </si>
  <si>
    <r>
      <t>t</t>
    </r>
    <r>
      <rPr>
        <vertAlign val="subscript"/>
        <sz val="11"/>
        <color rgb="FF000000"/>
        <rFont val="Palatino Linotype"/>
        <family val="1"/>
      </rPr>
      <t>5</t>
    </r>
  </si>
  <si>
    <r>
      <t>t</t>
    </r>
    <r>
      <rPr>
        <vertAlign val="subscript"/>
        <sz val="11"/>
        <color rgb="FF000000"/>
        <rFont val="Palatino Linotype"/>
        <family val="1"/>
      </rPr>
      <t>p</t>
    </r>
  </si>
  <si>
    <r>
      <t>T</t>
    </r>
    <r>
      <rPr>
        <vertAlign val="subscript"/>
        <sz val="11"/>
        <color rgb="FF000000"/>
        <rFont val="Palatino Linotype"/>
        <family val="1"/>
      </rPr>
      <t>F,OFF</t>
    </r>
    <r>
      <rPr>
        <sz val="11"/>
        <color indexed="8"/>
        <rFont val="Palatino Linotype"/>
        <family val="1"/>
      </rPr>
      <t>(t</t>
    </r>
    <r>
      <rPr>
        <vertAlign val="subscript"/>
        <sz val="11"/>
        <color rgb="FF000000"/>
        <rFont val="Palatino Linotype"/>
        <family val="1"/>
      </rPr>
      <t>3</t>
    </r>
    <r>
      <rPr>
        <sz val="11"/>
        <color indexed="8"/>
        <rFont val="Palatino Linotype"/>
        <family val="1"/>
      </rPr>
      <t>)</t>
    </r>
  </si>
  <si>
    <r>
      <t>T</t>
    </r>
    <r>
      <rPr>
        <vertAlign val="subscript"/>
        <sz val="11"/>
        <color rgb="FF000000"/>
        <rFont val="Palatino Linotype"/>
        <family val="1"/>
      </rPr>
      <t>F,OFF</t>
    </r>
    <r>
      <rPr>
        <sz val="11"/>
        <color indexed="8"/>
        <rFont val="Palatino Linotype"/>
        <family val="1"/>
      </rPr>
      <t>(t</t>
    </r>
    <r>
      <rPr>
        <vertAlign val="subscript"/>
        <sz val="11"/>
        <color rgb="FF000000"/>
        <rFont val="Palatino Linotype"/>
        <family val="1"/>
      </rPr>
      <t>4</t>
    </r>
    <r>
      <rPr>
        <sz val="11"/>
        <color indexed="8"/>
        <rFont val="Palatino Linotype"/>
        <family val="1"/>
      </rPr>
      <t>)</t>
    </r>
  </si>
  <si>
    <r>
      <t>T</t>
    </r>
    <r>
      <rPr>
        <vertAlign val="subscript"/>
        <sz val="11"/>
        <color rgb="FF000000"/>
        <rFont val="Palatino Linotype"/>
        <family val="1"/>
      </rPr>
      <t>F,OFF</t>
    </r>
    <r>
      <rPr>
        <sz val="11"/>
        <color indexed="8"/>
        <rFont val="Palatino Linotype"/>
        <family val="1"/>
      </rPr>
      <t>(t</t>
    </r>
    <r>
      <rPr>
        <vertAlign val="subscript"/>
        <sz val="11"/>
        <color rgb="FF000000"/>
        <rFont val="Palatino Linotype"/>
        <family val="1"/>
      </rPr>
      <t>5</t>
    </r>
    <r>
      <rPr>
        <sz val="11"/>
        <color indexed="8"/>
        <rFont val="Palatino Linotype"/>
        <family val="1"/>
      </rPr>
      <t>)</t>
    </r>
  </si>
  <si>
    <r>
      <t>τ</t>
    </r>
    <r>
      <rPr>
        <vertAlign val="subscript"/>
        <sz val="11"/>
        <color rgb="FF000000"/>
        <rFont val="Palatino Linotype"/>
        <family val="1"/>
      </rPr>
      <t>OFF</t>
    </r>
  </si>
  <si>
    <r>
      <t>ψ</t>
    </r>
    <r>
      <rPr>
        <vertAlign val="subscript"/>
        <sz val="11"/>
        <color rgb="FF000000"/>
        <rFont val="Palatino Linotype"/>
        <family val="1"/>
      </rPr>
      <t>F,O,X</t>
    </r>
  </si>
  <si>
    <r>
      <t>ψ</t>
    </r>
    <r>
      <rPr>
        <vertAlign val="subscript"/>
        <sz val="11"/>
        <color rgb="FF000000"/>
        <rFont val="Palatino Linotype"/>
        <family val="1"/>
      </rPr>
      <t>F,∞,X</t>
    </r>
  </si>
  <si>
    <r>
      <t>M</t>
    </r>
    <r>
      <rPr>
        <vertAlign val="subscript"/>
        <sz val="11"/>
        <color rgb="FF000000"/>
        <rFont val="Palatino Linotype"/>
        <family val="1"/>
      </rPr>
      <t>F,ON</t>
    </r>
  </si>
  <si>
    <r>
      <t>M</t>
    </r>
    <r>
      <rPr>
        <vertAlign val="subscript"/>
        <sz val="11"/>
        <color rgb="FF000000"/>
        <rFont val="Palatino Linotype"/>
        <family val="1"/>
      </rPr>
      <t>F,M</t>
    </r>
  </si>
  <si>
    <r>
      <t>T</t>
    </r>
    <r>
      <rPr>
        <vertAlign val="subscript"/>
        <sz val="11"/>
        <color rgb="FF000000"/>
        <rFont val="Palatino Linotype"/>
        <family val="1"/>
      </rPr>
      <t>F,OFF</t>
    </r>
  </si>
  <si>
    <r>
      <t>M</t>
    </r>
    <r>
      <rPr>
        <vertAlign val="subscript"/>
        <sz val="11"/>
        <color rgb="FF000000"/>
        <rFont val="Palatino Linotype"/>
        <family val="1"/>
      </rPr>
      <t>F,OFF</t>
    </r>
  </si>
  <si>
    <r>
      <t>D</t>
    </r>
    <r>
      <rPr>
        <vertAlign val="subscript"/>
        <sz val="11"/>
        <color rgb="FF000000"/>
        <rFont val="Palatino Linotype"/>
        <family val="1"/>
      </rPr>
      <t>P</t>
    </r>
  </si>
  <si>
    <r>
      <t>D</t>
    </r>
    <r>
      <rPr>
        <vertAlign val="subscript"/>
        <sz val="11"/>
        <color rgb="FF000000"/>
        <rFont val="Palatino Linotype"/>
        <family val="1"/>
      </rPr>
      <t>F</t>
    </r>
  </si>
  <si>
    <r>
      <t>D</t>
    </r>
    <r>
      <rPr>
        <vertAlign val="subscript"/>
        <sz val="11"/>
        <color rgb="FF000000"/>
        <rFont val="Palatino Linotype"/>
        <family val="1"/>
      </rPr>
      <t>S</t>
    </r>
  </si>
  <si>
    <r>
      <t>K</t>
    </r>
    <r>
      <rPr>
        <vertAlign val="subscript"/>
        <sz val="11"/>
        <color rgb="FF000000"/>
        <rFont val="Palatino Linotype"/>
        <family val="1"/>
      </rPr>
      <t>L</t>
    </r>
  </si>
  <si>
    <r>
      <t>D</t>
    </r>
    <r>
      <rPr>
        <vertAlign val="subscript"/>
        <sz val="11"/>
        <color rgb="FF000000"/>
        <rFont val="Palatino Linotype"/>
        <family val="1"/>
      </rPr>
      <t>S</t>
    </r>
    <r>
      <rPr>
        <vertAlign val="superscript"/>
        <sz val="11"/>
        <color rgb="FF000000"/>
        <rFont val="Palatino Linotype"/>
        <family val="1"/>
      </rPr>
      <t>O</t>
    </r>
  </si>
  <si>
    <r>
      <t>ψ</t>
    </r>
    <r>
      <rPr>
        <vertAlign val="subscript"/>
        <sz val="11"/>
        <color rgb="FF000000"/>
        <rFont val="Palatino Linotype"/>
        <family val="1"/>
      </rPr>
      <t>S,∞,X</t>
    </r>
  </si>
  <si>
    <r>
      <t>ψ</t>
    </r>
    <r>
      <rPr>
        <vertAlign val="subscript"/>
        <sz val="11"/>
        <color rgb="FF000000"/>
        <rFont val="Palatino Linotype"/>
        <family val="1"/>
      </rPr>
      <t>S,O,X</t>
    </r>
  </si>
  <si>
    <r>
      <t>t</t>
    </r>
    <r>
      <rPr>
        <vertAlign val="subscript"/>
        <sz val="11"/>
        <color rgb="FF000000"/>
        <rFont val="Palatino Linotype"/>
        <family val="1"/>
      </rPr>
      <t>ON</t>
    </r>
  </si>
  <si>
    <r>
      <t>R</t>
    </r>
    <r>
      <rPr>
        <vertAlign val="subscript"/>
        <sz val="11"/>
        <color rgb="FF000000"/>
        <rFont val="Palatino Linotype"/>
        <family val="1"/>
      </rPr>
      <t>ON</t>
    </r>
  </si>
  <si>
    <r>
      <t>t</t>
    </r>
    <r>
      <rPr>
        <vertAlign val="subscript"/>
        <sz val="11"/>
        <color rgb="FF000000"/>
        <rFont val="Palatino Linotype"/>
        <family val="1"/>
      </rPr>
      <t>OFF</t>
    </r>
  </si>
  <si>
    <r>
      <t>R</t>
    </r>
    <r>
      <rPr>
        <vertAlign val="subscript"/>
        <sz val="11"/>
        <color rgb="FF000000"/>
        <rFont val="Palatino Linotype"/>
        <family val="1"/>
      </rPr>
      <t>OFF</t>
    </r>
  </si>
  <si>
    <r>
      <t>C</t>
    </r>
    <r>
      <rPr>
        <vertAlign val="subscript"/>
        <sz val="11"/>
        <color rgb="FF000000"/>
        <rFont val="Palatino Linotype"/>
        <family val="1"/>
      </rPr>
      <t>T,ON</t>
    </r>
  </si>
  <si>
    <r>
      <t>C</t>
    </r>
    <r>
      <rPr>
        <vertAlign val="subscript"/>
        <sz val="11"/>
        <color rgb="FF000000"/>
        <rFont val="Palatino Linotype"/>
        <family val="1"/>
      </rPr>
      <t>IID</t>
    </r>
  </si>
  <si>
    <r>
      <t>C</t>
    </r>
    <r>
      <rPr>
        <vertAlign val="subscript"/>
        <sz val="11"/>
        <color rgb="FF000000"/>
        <rFont val="Palatino Linotype"/>
        <family val="1"/>
      </rPr>
      <t>T,OFF</t>
    </r>
  </si>
  <si>
    <r>
      <t>C'</t>
    </r>
    <r>
      <rPr>
        <vertAlign val="subscript"/>
        <sz val="11"/>
        <color rgb="FF000000"/>
        <rFont val="Palatino Linotype"/>
        <family val="1"/>
      </rPr>
      <t>S</t>
    </r>
  </si>
  <si>
    <r>
      <t>ψ</t>
    </r>
    <r>
      <rPr>
        <vertAlign val="subscript"/>
        <sz val="11"/>
        <color rgb="FF000000"/>
        <rFont val="Palatino Linotype"/>
        <family val="1"/>
      </rPr>
      <t>F,O</t>
    </r>
  </si>
  <si>
    <r>
      <t>ψ</t>
    </r>
    <r>
      <rPr>
        <vertAlign val="subscript"/>
        <sz val="11"/>
        <color rgb="FF000000"/>
        <rFont val="Palatino Linotype"/>
        <family val="1"/>
      </rPr>
      <t>F,∞</t>
    </r>
  </si>
  <si>
    <r>
      <t>ψ</t>
    </r>
    <r>
      <rPr>
        <vertAlign val="subscript"/>
        <sz val="11"/>
        <color rgb="FF000000"/>
        <rFont val="Palatino Linotype"/>
        <family val="1"/>
      </rPr>
      <t>S,O</t>
    </r>
  </si>
  <si>
    <r>
      <t>D</t>
    </r>
    <r>
      <rPr>
        <vertAlign val="subscript"/>
        <sz val="11"/>
        <color rgb="FF000000"/>
        <rFont val="Palatino Linotype"/>
        <family val="1"/>
      </rPr>
      <t>O</t>
    </r>
  </si>
  <si>
    <r>
      <t>D</t>
    </r>
    <r>
      <rPr>
        <vertAlign val="subscript"/>
        <sz val="11"/>
        <color rgb="FF000000"/>
        <rFont val="Palatino Linotype"/>
        <family val="1"/>
      </rPr>
      <t>OI</t>
    </r>
  </si>
  <si>
    <r>
      <t>C</t>
    </r>
    <r>
      <rPr>
        <vertAlign val="subscript"/>
        <sz val="11"/>
        <color rgb="FF000000"/>
        <rFont val="Palatino Linotype"/>
        <family val="1"/>
      </rPr>
      <t>S</t>
    </r>
  </si>
  <si>
    <r>
      <t>θ</t>
    </r>
    <r>
      <rPr>
        <vertAlign val="subscript"/>
        <sz val="11"/>
        <color rgb="FF000000"/>
        <rFont val="Palatino Linotype"/>
        <family val="1"/>
      </rPr>
      <t>F,O</t>
    </r>
  </si>
  <si>
    <r>
      <t>K</t>
    </r>
    <r>
      <rPr>
        <vertAlign val="subscript"/>
        <sz val="11"/>
        <color rgb="FF000000"/>
        <rFont val="Palatino Linotype"/>
        <family val="1"/>
      </rPr>
      <t>S,OFF</t>
    </r>
  </si>
  <si>
    <r>
      <t>K</t>
    </r>
    <r>
      <rPr>
        <vertAlign val="subscript"/>
        <sz val="11"/>
        <color rgb="FF000000"/>
        <rFont val="Palatino Linotype"/>
        <family val="1"/>
      </rPr>
      <t>I,OFF</t>
    </r>
  </si>
  <si>
    <r>
      <t>L</t>
    </r>
    <r>
      <rPr>
        <vertAlign val="subscript"/>
        <sz val="11"/>
        <color rgb="FF000000"/>
        <rFont val="Palatino Linotype"/>
        <family val="1"/>
      </rPr>
      <t>S,ON</t>
    </r>
  </si>
  <si>
    <r>
      <t>C</t>
    </r>
    <r>
      <rPr>
        <vertAlign val="subscript"/>
        <sz val="11"/>
        <color rgb="FF000000"/>
        <rFont val="Palatino Linotype"/>
        <family val="1"/>
      </rPr>
      <t>TS</t>
    </r>
  </si>
  <si>
    <r>
      <t>T</t>
    </r>
    <r>
      <rPr>
        <vertAlign val="subscript"/>
        <sz val="11"/>
        <color rgb="FF000000"/>
        <rFont val="Palatino Linotype"/>
        <family val="1"/>
      </rPr>
      <t>F,OFF</t>
    </r>
    <r>
      <rPr>
        <sz val="11"/>
        <color indexed="8"/>
        <rFont val="Palatino Linotype"/>
        <family val="1"/>
      </rPr>
      <t>(t</t>
    </r>
    <r>
      <rPr>
        <vertAlign val="subscript"/>
        <sz val="11"/>
        <color rgb="FF000000"/>
        <rFont val="Palatino Linotype"/>
        <family val="1"/>
      </rPr>
      <t>P</t>
    </r>
    <r>
      <rPr>
        <sz val="11"/>
        <color indexed="8"/>
        <rFont val="Palatino Linotype"/>
        <family val="1"/>
      </rPr>
      <t>)</t>
    </r>
  </si>
  <si>
    <r>
      <t>L</t>
    </r>
    <r>
      <rPr>
        <vertAlign val="subscript"/>
        <sz val="11"/>
        <color rgb="FF000000"/>
        <rFont val="Palatino Linotype"/>
        <family val="1"/>
      </rPr>
      <t>S,OFF1</t>
    </r>
  </si>
  <si>
    <r>
      <t>L</t>
    </r>
    <r>
      <rPr>
        <vertAlign val="subscript"/>
        <sz val="11"/>
        <color rgb="FF000000"/>
        <rFont val="Palatino Linotype"/>
        <family val="1"/>
      </rPr>
      <t>S,OFF2</t>
    </r>
  </si>
  <si>
    <r>
      <t>L</t>
    </r>
    <r>
      <rPr>
        <vertAlign val="subscript"/>
        <sz val="11"/>
        <color rgb="FF000000"/>
        <rFont val="Palatino Linotype"/>
        <family val="1"/>
      </rPr>
      <t>S,OFF</t>
    </r>
  </si>
  <si>
    <r>
      <t>L</t>
    </r>
    <r>
      <rPr>
        <vertAlign val="subscript"/>
        <sz val="11"/>
        <color rgb="FF000000"/>
        <rFont val="Palatino Linotype"/>
        <family val="1"/>
      </rPr>
      <t>I,ON</t>
    </r>
  </si>
  <si>
    <r>
      <t>L</t>
    </r>
    <r>
      <rPr>
        <vertAlign val="subscript"/>
        <sz val="11"/>
        <color rgb="FF000000"/>
        <rFont val="Palatino Linotype"/>
        <family val="1"/>
      </rPr>
      <t>I,OFF1</t>
    </r>
  </si>
  <si>
    <r>
      <t>L</t>
    </r>
    <r>
      <rPr>
        <vertAlign val="subscript"/>
        <sz val="11"/>
        <color rgb="FF000000"/>
        <rFont val="Palatino Linotype"/>
        <family val="1"/>
      </rPr>
      <t>I,OFF2</t>
    </r>
    <r>
      <rPr>
        <sz val="11"/>
        <color theme="1"/>
        <rFont val="Calibri"/>
        <family val="2"/>
        <scheme val="minor"/>
      </rPr>
      <t/>
    </r>
  </si>
  <si>
    <r>
      <t>L</t>
    </r>
    <r>
      <rPr>
        <vertAlign val="subscript"/>
        <sz val="11"/>
        <color rgb="FF000000"/>
        <rFont val="Palatino Linotype"/>
        <family val="1"/>
      </rPr>
      <t>I,OFF</t>
    </r>
  </si>
  <si>
    <r>
      <t>C</t>
    </r>
    <r>
      <rPr>
        <vertAlign val="subscript"/>
        <sz val="11"/>
        <color rgb="FF000000"/>
        <rFont val="Palatino Linotype"/>
        <family val="1"/>
      </rPr>
      <t>J</t>
    </r>
  </si>
  <si>
    <r>
      <t>Q</t>
    </r>
    <r>
      <rPr>
        <vertAlign val="subscript"/>
        <sz val="11"/>
        <color rgb="FF000000"/>
        <rFont val="Palatino Linotype"/>
        <family val="1"/>
      </rPr>
      <t>P</t>
    </r>
  </si>
  <si>
    <r>
      <t>M</t>
    </r>
    <r>
      <rPr>
        <vertAlign val="subscript"/>
        <sz val="11"/>
        <color rgb="FF000000"/>
        <rFont val="Palatino Linotype"/>
        <family val="1"/>
      </rPr>
      <t>C</t>
    </r>
  </si>
  <si>
    <r>
      <t>Q</t>
    </r>
    <r>
      <rPr>
        <vertAlign val="subscript"/>
        <sz val="11"/>
        <color rgb="FF000000"/>
        <rFont val="Palatino Linotype"/>
        <family val="1"/>
      </rPr>
      <t>C</t>
    </r>
  </si>
  <si>
    <r>
      <t>L</t>
    </r>
    <r>
      <rPr>
        <vertAlign val="subscript"/>
        <sz val="11"/>
        <color rgb="FF000000"/>
        <rFont val="Palatino Linotype"/>
        <family val="1"/>
      </rPr>
      <t>G</t>
    </r>
  </si>
  <si>
    <r>
      <t>L</t>
    </r>
    <r>
      <rPr>
        <vertAlign val="subscript"/>
        <sz val="11"/>
        <color rgb="FF000000"/>
        <rFont val="Palatino Linotype"/>
        <family val="1"/>
      </rPr>
      <t>C</t>
    </r>
  </si>
  <si>
    <r>
      <t>Effy</t>
    </r>
    <r>
      <rPr>
        <vertAlign val="subscript"/>
        <sz val="11"/>
        <color rgb="FF000000"/>
        <rFont val="Palatino Linotype"/>
        <family val="1"/>
      </rPr>
      <t>U,R</t>
    </r>
  </si>
  <si>
    <r>
      <t>Effy</t>
    </r>
    <r>
      <rPr>
        <vertAlign val="subscript"/>
        <sz val="11"/>
        <color rgb="FF000000"/>
        <rFont val="Palatino Linotype"/>
        <family val="1"/>
      </rPr>
      <t>U,H</t>
    </r>
  </si>
  <si>
    <r>
      <t>Effy</t>
    </r>
    <r>
      <rPr>
        <vertAlign val="subscript"/>
        <sz val="11"/>
        <color rgb="FF000000"/>
        <rFont val="Palatino Linotype"/>
        <family val="1"/>
      </rPr>
      <t>HS</t>
    </r>
  </si>
  <si>
    <r>
      <t>Number of Segments between t/t</t>
    </r>
    <r>
      <rPr>
        <vertAlign val="subscript"/>
        <sz val="11"/>
        <color rgb="FF000000"/>
        <rFont val="Palatino Linotype"/>
        <family val="1"/>
      </rPr>
      <t>OFF</t>
    </r>
    <r>
      <rPr>
        <sz val="11"/>
        <color indexed="8"/>
        <rFont val="Palatino Linotype"/>
        <family val="1"/>
      </rPr>
      <t xml:space="preserve"> = 0 to t/t</t>
    </r>
    <r>
      <rPr>
        <vertAlign val="subscript"/>
        <sz val="11"/>
        <color rgb="FF000000"/>
        <rFont val="Palatino Linotype"/>
        <family val="1"/>
      </rPr>
      <t>OFF</t>
    </r>
    <r>
      <rPr>
        <sz val="11"/>
        <color indexed="8"/>
        <rFont val="Palatino Linotype"/>
        <family val="1"/>
      </rPr>
      <t xml:space="preserve"> = 1.0</t>
    </r>
  </si>
  <si>
    <r>
      <t>h</t>
    </r>
    <r>
      <rPr>
        <vertAlign val="subscript"/>
        <sz val="11"/>
        <color rgb="FF000000"/>
        <rFont val="Palatino Linotype"/>
        <family val="1"/>
      </rPr>
      <t>j</t>
    </r>
  </si>
  <si>
    <r>
      <t>ψ</t>
    </r>
    <r>
      <rPr>
        <vertAlign val="subscript"/>
        <sz val="11"/>
        <color rgb="FF000000"/>
        <rFont val="Palatino Linotype"/>
        <family val="1"/>
      </rPr>
      <t>S,∞,j</t>
    </r>
  </si>
  <si>
    <r>
      <t>ψ</t>
    </r>
    <r>
      <rPr>
        <vertAlign val="subscript"/>
        <sz val="11"/>
        <color rgb="FF000000"/>
        <rFont val="Palatino Linotype"/>
        <family val="1"/>
      </rPr>
      <t>S,O,j</t>
    </r>
  </si>
  <si>
    <r>
      <t>R</t>
    </r>
    <r>
      <rPr>
        <vertAlign val="subscript"/>
        <sz val="11"/>
        <color rgb="FF000000"/>
        <rFont val="Palatino Linotype"/>
        <family val="1"/>
      </rPr>
      <t>OFF,Modified</t>
    </r>
  </si>
  <si>
    <r>
      <t>Δ</t>
    </r>
    <r>
      <rPr>
        <sz val="8.8000000000000007"/>
        <color indexed="8"/>
        <rFont val="Palatino Linotype"/>
        <family val="1"/>
      </rPr>
      <t>t</t>
    </r>
  </si>
  <si>
    <r>
      <t>R</t>
    </r>
    <r>
      <rPr>
        <b/>
        <vertAlign val="subscript"/>
        <sz val="11"/>
        <color theme="1"/>
        <rFont val="Palatino Linotype"/>
        <family val="1"/>
      </rPr>
      <t>OFF</t>
    </r>
    <r>
      <rPr>
        <b/>
        <sz val="11"/>
        <color theme="1"/>
        <rFont val="Palatino Linotype"/>
        <family val="1"/>
      </rPr>
      <t xml:space="preserve"> Used</t>
    </r>
  </si>
  <si>
    <t>ψ Used</t>
  </si>
  <si>
    <r>
      <t>t/τ</t>
    </r>
    <r>
      <rPr>
        <vertAlign val="subscript"/>
        <sz val="11"/>
        <color theme="1"/>
        <rFont val="Palatino Linotype"/>
        <family val="1"/>
      </rPr>
      <t>off</t>
    </r>
  </si>
  <si>
    <t>Coefficient for Test Fuel</t>
  </si>
  <si>
    <t>Corrected Shutdown Burner Cycling Effect Correction Factor (Variable is not actually named in ANSI/ASHRAE)</t>
  </si>
  <si>
    <t>Average Annual Heating Degree-Days</t>
  </si>
  <si>
    <t>°F-days</t>
  </si>
  <si>
    <t>Average Non-Heating-Season Hours per Year</t>
  </si>
  <si>
    <t>h/yr</t>
  </si>
  <si>
    <t>Heating Degree-Days per Day at 65°F – 5°F divided by 24 h/day</t>
  </si>
  <si>
    <r>
      <t>PE</t>
    </r>
    <r>
      <rPr>
        <vertAlign val="subscript"/>
        <sz val="11"/>
        <color rgb="FF000000"/>
        <rFont val="Palatino Linotype"/>
        <family val="1"/>
      </rPr>
      <t>IG</t>
    </r>
  </si>
  <si>
    <r>
      <t>t</t>
    </r>
    <r>
      <rPr>
        <vertAlign val="subscript"/>
        <sz val="11"/>
        <color rgb="FF000000"/>
        <rFont val="Palatino Linotype"/>
        <family val="1"/>
      </rPr>
      <t>IG</t>
    </r>
  </si>
  <si>
    <r>
      <t>E</t>
    </r>
    <r>
      <rPr>
        <vertAlign val="subscript"/>
        <sz val="11"/>
        <color rgb="FF000000"/>
        <rFont val="Palatino Linotype"/>
        <family val="1"/>
      </rPr>
      <t>IN</t>
    </r>
  </si>
  <si>
    <r>
      <t>Q</t>
    </r>
    <r>
      <rPr>
        <vertAlign val="subscript"/>
        <sz val="11"/>
        <color rgb="FF000000"/>
        <rFont val="Palatino Linotype"/>
        <family val="1"/>
      </rPr>
      <t>C,SS</t>
    </r>
  </si>
  <si>
    <r>
      <t>M</t>
    </r>
    <r>
      <rPr>
        <vertAlign val="subscript"/>
        <sz val="11"/>
        <color rgb="FF000000"/>
        <rFont val="Palatino Linotype"/>
        <family val="1"/>
      </rPr>
      <t>C,SS</t>
    </r>
  </si>
  <si>
    <r>
      <t>T</t>
    </r>
    <r>
      <rPr>
        <vertAlign val="subscript"/>
        <sz val="11"/>
        <color rgb="FF000000"/>
        <rFont val="Palatino Linotype"/>
        <family val="1"/>
      </rPr>
      <t>F,OFF</t>
    </r>
    <r>
      <rPr>
        <sz val="11"/>
        <color indexed="8"/>
        <rFont val="Palatino Linotype"/>
        <family val="1"/>
      </rPr>
      <t>(t</t>
    </r>
    <r>
      <rPr>
        <vertAlign val="subscript"/>
        <sz val="11"/>
        <color rgb="FF000000"/>
        <rFont val="Palatino Linotype"/>
        <family val="1"/>
      </rPr>
      <t>p</t>
    </r>
    <r>
      <rPr>
        <sz val="11"/>
        <color indexed="8"/>
        <rFont val="Palatino Linotype"/>
        <family val="1"/>
      </rPr>
      <t>)</t>
    </r>
  </si>
  <si>
    <r>
      <t>V</t>
    </r>
    <r>
      <rPr>
        <vertAlign val="subscript"/>
        <sz val="11"/>
        <color rgb="FF000000"/>
        <rFont val="Palatino Linotype"/>
        <family val="1"/>
      </rPr>
      <t>T</t>
    </r>
  </si>
  <si>
    <r>
      <t>C</t>
    </r>
    <r>
      <rPr>
        <vertAlign val="subscript"/>
        <sz val="11"/>
        <color rgb="FF000000"/>
        <rFont val="Palatino Linotype"/>
        <family val="1"/>
      </rPr>
      <t>T</t>
    </r>
  </si>
  <si>
    <r>
      <t>T</t>
    </r>
    <r>
      <rPr>
        <vertAlign val="subscript"/>
        <sz val="11"/>
        <color rgb="FF000000"/>
        <rFont val="Palatino Linotype"/>
        <family val="1"/>
      </rPr>
      <t>T</t>
    </r>
  </si>
  <si>
    <r>
      <t>P</t>
    </r>
    <r>
      <rPr>
        <vertAlign val="subscript"/>
        <sz val="11"/>
        <color rgb="FF000000"/>
        <rFont val="Palatino Linotype"/>
        <family val="1"/>
      </rPr>
      <t>B</t>
    </r>
  </si>
  <si>
    <r>
      <rPr>
        <sz val="11"/>
        <color indexed="8"/>
        <rFont val="Calibri"/>
        <family val="2"/>
      </rPr>
      <t>ρ</t>
    </r>
    <r>
      <rPr>
        <vertAlign val="subscript"/>
        <sz val="9.35"/>
        <color rgb="FF000000"/>
        <rFont val="Palatino Linotype"/>
        <family val="1"/>
      </rPr>
      <t>F</t>
    </r>
  </si>
  <si>
    <r>
      <t>C</t>
    </r>
    <r>
      <rPr>
        <vertAlign val="subscript"/>
        <sz val="11"/>
        <color rgb="FF000000"/>
        <rFont val="Palatino Linotype"/>
        <family val="1"/>
      </rPr>
      <t>TB</t>
    </r>
  </si>
  <si>
    <r>
      <t>C</t>
    </r>
    <r>
      <rPr>
        <vertAlign val="subscript"/>
        <sz val="11"/>
        <color rgb="FF000000"/>
        <rFont val="Palatino Linotype"/>
        <family val="1"/>
      </rPr>
      <t>TM</t>
    </r>
  </si>
  <si>
    <r>
      <t>T</t>
    </r>
    <r>
      <rPr>
        <vertAlign val="subscript"/>
        <sz val="11"/>
        <color rgb="FF000000"/>
        <rFont val="Palatino Linotype"/>
        <family val="1"/>
      </rPr>
      <t>S,OFF</t>
    </r>
  </si>
  <si>
    <r>
      <t>Q</t>
    </r>
    <r>
      <rPr>
        <vertAlign val="subscript"/>
        <sz val="11"/>
        <color rgb="FF000000"/>
        <rFont val="Palatino Linotype"/>
        <family val="1"/>
      </rPr>
      <t>S,OFF</t>
    </r>
  </si>
  <si>
    <t>DOE 10.4.1</t>
  </si>
  <si>
    <t>National Average Heating Load Hours</t>
  </si>
  <si>
    <t>h</t>
  </si>
  <si>
    <t>Adjusts the calculated DHR and heating load hours to the actual heating load experienced by the heating system</t>
  </si>
  <si>
    <r>
      <rPr>
        <b/>
        <sz val="11"/>
        <color rgb="FF000000"/>
        <rFont val="Palatino Linotype"/>
        <family val="1"/>
      </rPr>
      <t>Appendix N, Section 8.3:  Input to Interrupted Ignition Device.</t>
    </r>
    <r>
      <rPr>
        <b/>
        <i/>
        <sz val="11"/>
        <color rgb="FF000000"/>
        <rFont val="Palatino Linotype"/>
        <family val="1"/>
      </rPr>
      <t xml:space="preserve"> 
</t>
    </r>
    <r>
      <rPr>
        <i/>
        <sz val="11"/>
        <color indexed="8"/>
        <rFont val="Palatino Linotype"/>
        <family val="1"/>
      </rPr>
      <t>For burners equipped with an interrupted ignition device, record the nameplate electric power used by the ignition device, PE</t>
    </r>
    <r>
      <rPr>
        <i/>
        <vertAlign val="subscript"/>
        <sz val="11"/>
        <color rgb="FF000000"/>
        <rFont val="Palatino Linotype"/>
        <family val="1"/>
      </rPr>
      <t>IG</t>
    </r>
    <r>
      <rPr>
        <i/>
        <sz val="11"/>
        <color indexed="8"/>
        <rFont val="Palatino Linotype"/>
        <family val="1"/>
      </rPr>
      <t>, or record that PE</t>
    </r>
    <r>
      <rPr>
        <i/>
        <vertAlign val="subscript"/>
        <sz val="11"/>
        <color rgb="FF000000"/>
        <rFont val="Palatino Linotype"/>
        <family val="1"/>
      </rPr>
      <t>IG</t>
    </r>
    <r>
      <rPr>
        <i/>
        <sz val="11"/>
        <color indexed="8"/>
        <rFont val="Palatino Linotype"/>
        <family val="1"/>
      </rPr>
      <t xml:space="preserve"> = 0.4 kW if no nameplate power input is provided. Record the nameplate ignition device on-time interval, t</t>
    </r>
    <r>
      <rPr>
        <i/>
        <vertAlign val="subscript"/>
        <sz val="11"/>
        <color rgb="FF000000"/>
        <rFont val="Palatino Linotype"/>
        <family val="1"/>
      </rPr>
      <t>IG</t>
    </r>
    <r>
      <rPr>
        <i/>
        <sz val="11"/>
        <color indexed="8"/>
        <rFont val="Palatino Linotype"/>
        <family val="1"/>
      </rPr>
      <t>, or, if the nameplate does not provide the ignition device on-time interval, measure the on-time interval with a stopwatch at the beginning of the test, starting when the burner is turned on. Set t</t>
    </r>
    <r>
      <rPr>
        <i/>
        <vertAlign val="subscript"/>
        <sz val="11"/>
        <color rgb="FF000000"/>
        <rFont val="Palatino Linotype"/>
        <family val="1"/>
      </rPr>
      <t>IG</t>
    </r>
    <r>
      <rPr>
        <i/>
        <sz val="11"/>
        <color indexed="8"/>
        <rFont val="Palatino Linotype"/>
        <family val="1"/>
      </rPr>
      <t xml:space="preserve"> = 0 and PE</t>
    </r>
    <r>
      <rPr>
        <i/>
        <vertAlign val="subscript"/>
        <sz val="11"/>
        <color rgb="FF000000"/>
        <rFont val="Palatino Linotype"/>
        <family val="1"/>
      </rPr>
      <t>IG</t>
    </r>
    <r>
      <rPr>
        <i/>
        <sz val="11"/>
        <color indexed="8"/>
        <rFont val="Palatino Linotype"/>
        <family val="1"/>
      </rPr>
      <t xml:space="preserve"> = 0 if the device on-time interval is less than or equal to 5 seconds after the burner is on.</t>
    </r>
  </si>
  <si>
    <r>
      <rPr>
        <b/>
        <sz val="11"/>
        <color rgb="FF000000"/>
        <rFont val="Palatino Linotype"/>
        <family val="1"/>
      </rPr>
      <t>Appendix N, Section 8.2:  Electrical Input.</t>
    </r>
    <r>
      <rPr>
        <sz val="11"/>
        <color rgb="FF000000"/>
        <rFont val="Palatino Linotype"/>
        <family val="1"/>
      </rPr>
      <t xml:space="preserve"> 
</t>
    </r>
    <r>
      <rPr>
        <i/>
        <sz val="11"/>
        <color indexed="8"/>
        <rFont val="Palatino Linotype"/>
        <family val="1"/>
      </rPr>
      <t>For furnaces and boilers, during the steady-state test, perform a single measurement of all of the electrical power involved in burner operation (PE), including energizing the ignition system, controls, gas valve or oil control valve, and draft inducer, if applicable. For boilers, the measurement of PE must include the boiler pump if so equipped. If the boiler pump does not operate during the measurement of PE, add the boiler pump nameplate power to the measurement of PE. If the boiler pump nameplate power is not available, use 0.13 kW.
For furnaces, during the steady-state test, perform a single measurement of the electrical power to the circulating air blower (BE). For hot water boilers, use the circulating water pump nameplate power for BE, or if the pump nameplate power is not available, use 0.13 kW.</t>
    </r>
  </si>
  <si>
    <t>Ratio of Power Burner Combustion Blower On-Time to Average Burner On-Time</t>
  </si>
  <si>
    <t>Ratio of Electrical Interrupted Ignition Device On-Time to Average Burner On-Time</t>
  </si>
  <si>
    <t>Electrical Power to the Interrupted Ignition Device</t>
  </si>
  <si>
    <t>Electrical Power to Burner</t>
  </si>
  <si>
    <t>Electrical Power to Circulating Air Blower or Water Pump</t>
  </si>
  <si>
    <r>
      <t>y</t>
    </r>
    <r>
      <rPr>
        <vertAlign val="subscript"/>
        <sz val="11"/>
        <color rgb="FF000000"/>
        <rFont val="Palatino Linotype"/>
        <family val="1"/>
      </rPr>
      <t>p</t>
    </r>
  </si>
  <si>
    <r>
      <t>y</t>
    </r>
    <r>
      <rPr>
        <vertAlign val="subscript"/>
        <sz val="11"/>
        <color rgb="FF000000"/>
        <rFont val="Palatino Linotype"/>
        <family val="1"/>
      </rPr>
      <t>IG</t>
    </r>
  </si>
  <si>
    <t>Electrical Interrupted Ignition Device On-Time</t>
  </si>
  <si>
    <t>Power</t>
  </si>
  <si>
    <t>N/A</t>
  </si>
  <si>
    <t>Forced Draft</t>
  </si>
  <si>
    <t>Induced Draft</t>
  </si>
  <si>
    <t>Product</t>
  </si>
  <si>
    <t>Furnace</t>
  </si>
  <si>
    <t>Boiler</t>
  </si>
  <si>
    <t>Gravity (air, steam)</t>
  </si>
  <si>
    <t>Forced (air, water)</t>
  </si>
  <si>
    <t>Oil</t>
  </si>
  <si>
    <t>Power Burner Type</t>
  </si>
  <si>
    <t>Natural Draft</t>
  </si>
  <si>
    <t>Pulse Combustion</t>
  </si>
  <si>
    <t>Stack Damper</t>
  </si>
  <si>
    <t>Electro-mechanical Inlet Damper</t>
  </si>
  <si>
    <t>Electro-Mechanical Flue Damper</t>
  </si>
  <si>
    <t>Heating Medium</t>
  </si>
  <si>
    <t>Energy Source</t>
  </si>
  <si>
    <t>Burner Type</t>
  </si>
  <si>
    <t>Ignition</t>
  </si>
  <si>
    <t>Intermittent or Interrupted Operating Ignition</t>
  </si>
  <si>
    <t>Draft Equipment</t>
  </si>
  <si>
    <t>Yes. With Heat Exchange.</t>
  </si>
  <si>
    <t>Yes. Without Heat Exchange.</t>
  </si>
  <si>
    <t>Direct Vent (Indoor Installations Only)</t>
  </si>
  <si>
    <t>Non-Condensing</t>
  </si>
  <si>
    <t>Fuel Used</t>
  </si>
  <si>
    <t>Flue Gas</t>
  </si>
  <si>
    <t>Direct Vent? (Indoor Installations Only)</t>
  </si>
  <si>
    <t>Gas Pressure</t>
  </si>
  <si>
    <t>±</t>
  </si>
  <si>
    <t>All instruments shall be in working order and be calibrated periodically. Records of periodic calibration shall be kept and they shall contain at a minimum the date of calibration, method of calibration, and reference standard used.</t>
  </si>
  <si>
    <r>
      <t>in. H</t>
    </r>
    <r>
      <rPr>
        <vertAlign val="subscript"/>
        <sz val="11"/>
        <color theme="1"/>
        <rFont val="Palatino Linotype"/>
        <family val="1"/>
      </rPr>
      <t>2</t>
    </r>
    <r>
      <rPr>
        <sz val="11"/>
        <color theme="1"/>
        <rFont val="Palatino Linotype"/>
        <family val="1"/>
      </rPr>
      <t>O</t>
    </r>
  </si>
  <si>
    <t>Oil Pressure</t>
  </si>
  <si>
    <t>Air Pressure</t>
  </si>
  <si>
    <t>Steam Pressure</t>
  </si>
  <si>
    <t>psi</t>
  </si>
  <si>
    <t>Draft</t>
  </si>
  <si>
    <r>
      <t>CO</t>
    </r>
    <r>
      <rPr>
        <vertAlign val="subscript"/>
        <sz val="11"/>
        <color theme="1"/>
        <rFont val="Palatino Linotype"/>
        <family val="1"/>
      </rPr>
      <t>2</t>
    </r>
  </si>
  <si>
    <t>Weight</t>
  </si>
  <si>
    <t>% of quantity measured</t>
  </si>
  <si>
    <t>Volume</t>
  </si>
  <si>
    <t>Time</t>
  </si>
  <si>
    <t>seconds/hour</t>
  </si>
  <si>
    <t>Tracer Gas Mass Flow Rate</t>
  </si>
  <si>
    <t>Electrical Energy Flow Rate</t>
  </si>
  <si>
    <t>Gas Energy Flow Rate</t>
  </si>
  <si>
    <t>Oil Energy Flow Rate</t>
  </si>
  <si>
    <t>HHV: Gas</t>
  </si>
  <si>
    <t>HHV: Oil</t>
  </si>
  <si>
    <t>ANSI/ASHRAE Section 6: Instruments (Accuracy)</t>
  </si>
  <si>
    <t>Nameplate Power Burner Motor Efficiency</t>
  </si>
  <si>
    <t>Nameplate Power Burner Motor Efficiency Used</t>
  </si>
  <si>
    <r>
      <t>Eff</t>
    </r>
    <r>
      <rPr>
        <vertAlign val="subscript"/>
        <sz val="11"/>
        <color rgb="FF000000"/>
        <rFont val="Palatino Linotype"/>
        <family val="1"/>
      </rPr>
      <t>motor</t>
    </r>
  </si>
  <si>
    <t>y</t>
  </si>
  <si>
    <t>Ratio of Blower or Pump On-Time to Average Burner On-Time</t>
  </si>
  <si>
    <t>Time Delay Between Burner Shut-Off and Pump Shut-Off</t>
  </si>
  <si>
    <r>
      <t>t</t>
    </r>
    <r>
      <rPr>
        <vertAlign val="superscript"/>
        <sz val="11"/>
        <color rgb="FF000000"/>
        <rFont val="Palatino Linotype"/>
        <family val="1"/>
      </rPr>
      <t>+</t>
    </r>
  </si>
  <si>
    <t>National Average Number of Burner Operating Hours</t>
  </si>
  <si>
    <r>
      <t>BOH</t>
    </r>
    <r>
      <rPr>
        <vertAlign val="subscript"/>
        <sz val="11"/>
        <color rgb="FF000000"/>
        <rFont val="Palatino Linotype"/>
        <family val="1"/>
      </rPr>
      <t>SS</t>
    </r>
  </si>
  <si>
    <t>DOE 10.4.1.1</t>
  </si>
  <si>
    <t>R</t>
  </si>
  <si>
    <t>Average Annual Energy Used During the Heating Season</t>
  </si>
  <si>
    <t>Total Number of Hours Per Year</t>
  </si>
  <si>
    <r>
      <t>E</t>
    </r>
    <r>
      <rPr>
        <vertAlign val="subscript"/>
        <sz val="11"/>
        <color rgb="FF000000"/>
        <rFont val="Palatino Linotype"/>
        <family val="1"/>
      </rPr>
      <t>M</t>
    </r>
  </si>
  <si>
    <t>National Average Number of Burner Operating Hours at the Maximum Operating Mode</t>
  </si>
  <si>
    <t>DOE 10.4.1.(2,3)</t>
  </si>
  <si>
    <r>
      <t>BOH</t>
    </r>
    <r>
      <rPr>
        <vertAlign val="subscript"/>
        <sz val="11"/>
        <color rgb="FF000000"/>
        <rFont val="Palatino Linotype"/>
        <family val="1"/>
      </rPr>
      <t>M</t>
    </r>
  </si>
  <si>
    <t>DOE 10.4.1.4</t>
  </si>
  <si>
    <t>National Average Number of Burner Operating Hours at the Reduced and Maximum Operating Modes</t>
  </si>
  <si>
    <r>
      <t>BOH</t>
    </r>
    <r>
      <rPr>
        <vertAlign val="subscript"/>
        <sz val="11"/>
        <color rgb="FF000000"/>
        <rFont val="Palatino Linotype"/>
        <family val="1"/>
      </rPr>
      <t>(R,H)</t>
    </r>
  </si>
  <si>
    <r>
      <t>Q</t>
    </r>
    <r>
      <rPr>
        <vertAlign val="subscript"/>
        <sz val="11"/>
        <color rgb="FF000000"/>
        <rFont val="Palatino Linotype"/>
        <family val="1"/>
      </rPr>
      <t>IN,M</t>
    </r>
  </si>
  <si>
    <t>Average Heat Input Rate for the Modulating Mode for Furnaces and Boilers Equipped with Step Modulating Controls</t>
  </si>
  <si>
    <t>EF</t>
  </si>
  <si>
    <t>Average Annual Fuel Energy Consumption</t>
  </si>
  <si>
    <r>
      <t>E</t>
    </r>
    <r>
      <rPr>
        <vertAlign val="subscript"/>
        <sz val="11"/>
        <color rgb="FF000000"/>
        <rFont val="Palatino Linotype"/>
        <family val="1"/>
      </rPr>
      <t>F</t>
    </r>
  </si>
  <si>
    <t>Average Annual Auxiliary Electrical Energy Consumption</t>
  </si>
  <si>
    <r>
      <t>E</t>
    </r>
    <r>
      <rPr>
        <vertAlign val="subscript"/>
        <sz val="11"/>
        <color rgb="FF000000"/>
        <rFont val="Palatino Linotype"/>
        <family val="1"/>
      </rPr>
      <t>AE</t>
    </r>
  </si>
  <si>
    <r>
      <t>E</t>
    </r>
    <r>
      <rPr>
        <vertAlign val="subscript"/>
        <sz val="11"/>
        <color rgb="FF000000"/>
        <rFont val="Palatino Linotype"/>
        <family val="1"/>
      </rPr>
      <t>E</t>
    </r>
  </si>
  <si>
    <t>Average Annual Electric Energy Consumption</t>
  </si>
  <si>
    <t>DOE 10.5</t>
  </si>
  <si>
    <t>Energy Factor</t>
  </si>
  <si>
    <r>
      <t>E</t>
    </r>
    <r>
      <rPr>
        <vertAlign val="subscript"/>
        <sz val="11"/>
        <color rgb="FF000000"/>
        <rFont val="Palatino Linotype"/>
        <family val="1"/>
      </rPr>
      <t>FR</t>
    </r>
  </si>
  <si>
    <r>
      <t>E</t>
    </r>
    <r>
      <rPr>
        <vertAlign val="subscript"/>
        <sz val="11"/>
        <color rgb="FF000000"/>
        <rFont val="Palatino Linotype"/>
        <family val="1"/>
      </rPr>
      <t>AER</t>
    </r>
  </si>
  <si>
    <r>
      <t>E</t>
    </r>
    <r>
      <rPr>
        <vertAlign val="subscript"/>
        <sz val="11"/>
        <color rgb="FF000000"/>
        <rFont val="Palatino Linotype"/>
        <family val="1"/>
      </rPr>
      <t>ER</t>
    </r>
  </si>
  <si>
    <t>Average Annual Auxiliary Electrical Energy Consumption for Units Located in a Different Geographic Region of the United States and in Buildings with Different DHRs.</t>
  </si>
  <si>
    <t>Average Annual Fuel Energy Consumption for Units Located in a Different Geographic Region of the United States and in Buildings with Different DHRs.</t>
  </si>
  <si>
    <t>Heating Load Hours for a Specific Geographic Region Determined from the Heating Load Hour Map in Figure 1 of the DOE Test Procedure</t>
  </si>
  <si>
    <t>Average Annual Electric Energy Consumption for Units Located in a Different Geographic Region of the United States and in Buildings with Different DHRs.</t>
  </si>
  <si>
    <t>HLH</t>
  </si>
  <si>
    <t>DOE 10.7.1</t>
  </si>
  <si>
    <t>DOE 10.7.2</t>
  </si>
  <si>
    <t>DOE 10.7.3</t>
  </si>
  <si>
    <t>DOE 10.8</t>
  </si>
  <si>
    <t>DOE 10.9</t>
  </si>
  <si>
    <t>DOE 10.10</t>
  </si>
  <si>
    <t>Standby Mode Power</t>
  </si>
  <si>
    <t>Off Mode Power</t>
  </si>
  <si>
    <t>DOE 10.11</t>
  </si>
  <si>
    <r>
      <t>P</t>
    </r>
    <r>
      <rPr>
        <vertAlign val="subscript"/>
        <sz val="11"/>
        <color rgb="FF000000"/>
        <rFont val="Palatino Linotype"/>
        <family val="1"/>
      </rPr>
      <t>W,SB</t>
    </r>
  </si>
  <si>
    <t>DOE 10.12</t>
  </si>
  <si>
    <r>
      <t>P</t>
    </r>
    <r>
      <rPr>
        <vertAlign val="subscript"/>
        <sz val="11"/>
        <color rgb="FF000000"/>
        <rFont val="Palatino Linotype"/>
        <family val="1"/>
      </rPr>
      <t>W,OFF</t>
    </r>
  </si>
  <si>
    <t>BOH</t>
  </si>
  <si>
    <t>Total Burner Operating Hours</t>
  </si>
  <si>
    <t>Average Heating Season Hours per Year</t>
  </si>
  <si>
    <t>Average Annual Electrical Standby Mode and Off Mode Energy Consumption</t>
  </si>
  <si>
    <r>
      <t>E</t>
    </r>
    <r>
      <rPr>
        <vertAlign val="subscript"/>
        <sz val="11"/>
        <color rgb="FF000000"/>
        <rFont val="Palatino Linotype"/>
        <family val="1"/>
      </rPr>
      <t>SO</t>
    </r>
  </si>
  <si>
    <t>Conversion Factor from Wh to kWh</t>
  </si>
  <si>
    <t>kWh/Wh</t>
  </si>
  <si>
    <r>
      <t>E</t>
    </r>
    <r>
      <rPr>
        <vertAlign val="subscript"/>
        <sz val="11"/>
        <color rgb="FF000000"/>
        <rFont val="Palatino Linotype"/>
        <family val="1"/>
      </rPr>
      <t>SOR</t>
    </r>
  </si>
  <si>
    <t>Btu/yr</t>
  </si>
  <si>
    <t>kWh</t>
  </si>
  <si>
    <t>Regional Average Annual Electrical Standby Mode and Off Mode Energy Consumption</t>
  </si>
  <si>
    <t>Continuous Burning Pilot</t>
  </si>
  <si>
    <t>Ignition:</t>
  </si>
  <si>
    <t>Flue Gas: (Condensing or Non-Condensing)</t>
  </si>
  <si>
    <r>
      <t>D</t>
    </r>
    <r>
      <rPr>
        <vertAlign val="subscript"/>
        <sz val="11"/>
        <color rgb="FF000000"/>
        <rFont val="Palatino Linotype"/>
        <family val="1"/>
      </rPr>
      <t>F</t>
    </r>
    <r>
      <rPr>
        <sz val="11"/>
        <color indexed="8"/>
        <rFont val="Palatino Linotype"/>
        <family val="1"/>
      </rPr>
      <t xml:space="preserve"> (Constant)</t>
    </r>
  </si>
  <si>
    <r>
      <t>D</t>
    </r>
    <r>
      <rPr>
        <vertAlign val="subscript"/>
        <sz val="11"/>
        <color rgb="FF000000"/>
        <rFont val="Palatino Linotype"/>
        <family val="1"/>
      </rPr>
      <t>F</t>
    </r>
    <r>
      <rPr>
        <sz val="11"/>
        <color indexed="8"/>
        <rFont val="Palatino Linotype"/>
        <family val="1"/>
      </rPr>
      <t xml:space="preserve"> (Based on D</t>
    </r>
    <r>
      <rPr>
        <vertAlign val="subscript"/>
        <sz val="11"/>
        <color rgb="FF000000"/>
        <rFont val="Palatino Linotype"/>
        <family val="1"/>
      </rPr>
      <t>P</t>
    </r>
    <r>
      <rPr>
        <sz val="11"/>
        <color indexed="8"/>
        <rFont val="Palatino Linotype"/>
        <family val="1"/>
      </rPr>
      <t>)</t>
    </r>
  </si>
  <si>
    <t>Background concentration of the tracer gas</t>
  </si>
  <si>
    <t>Stack gas tempearture</t>
  </si>
  <si>
    <t>Off-Cycle Sensible Loss</t>
  </si>
  <si>
    <t>Stack gas temperature</t>
  </si>
  <si>
    <t>Power Burner Draft Factor - USED</t>
  </si>
  <si>
    <t>Off-Cycle Flue Gas Draft Factor - USED</t>
  </si>
  <si>
    <t>Off-Cycle Stack Gas Draft Factor - USED</t>
  </si>
  <si>
    <t>Nameplate Maximum Input (Btu/h or kW):</t>
  </si>
  <si>
    <t>Nameplate Reduced Input (Btu/h or kW):</t>
  </si>
  <si>
    <r>
      <t>Operate the boiler until steady-state conditions are reached as indicated by a temperature variation of not more than 4°F in the outlet water temperature in three successive readings taken 15 minutes apart. Take three measurements of the total power input to the boiler at 10-minute intervals, and average to determine the rated power input (E</t>
    </r>
    <r>
      <rPr>
        <i/>
        <vertAlign val="subscript"/>
        <sz val="11"/>
        <rFont val="Palatino Linotype"/>
        <family val="1"/>
      </rPr>
      <t>IN</t>
    </r>
    <r>
      <rPr>
        <i/>
        <sz val="11"/>
        <rFont val="Palatino Linotype"/>
        <family val="1"/>
      </rPr>
      <t>) in watts.</t>
    </r>
  </si>
  <si>
    <t>heating load hours</t>
  </si>
  <si>
    <t>11. Arrival Photos (if necessary)</t>
  </si>
  <si>
    <t>3. Test unit from all sides (including photo of control panel)</t>
  </si>
  <si>
    <t>5. Photos of Ducts and Plenums</t>
  </si>
  <si>
    <t>6. Photos of Stack and Thermocouple Grid in Flue</t>
  </si>
  <si>
    <t>7. Photos of Ambient Temperature Sensors</t>
  </si>
  <si>
    <t>8. Photos of Burner</t>
  </si>
  <si>
    <t>9.  Photo of Controls at Maximum Input</t>
  </si>
  <si>
    <t>10.  Photo of Controls at Reduced Input</t>
  </si>
  <si>
    <t>12. Additional Photos (if necessary)</t>
  </si>
  <si>
    <t>Thermocouple Grid</t>
  </si>
  <si>
    <t>Thermometer</t>
  </si>
  <si>
    <t>Thermocouple</t>
  </si>
  <si>
    <t>Smoke</t>
  </si>
  <si>
    <t>Other</t>
  </si>
  <si>
    <t>Smoke-measuring instruments shall comply with requirements for smoke meters as outlined in Test Method for Smoke Density in the Flue Gases from Burning Distillate Fuels, ASTM-D-2156-80 (1980).</t>
  </si>
  <si>
    <t>TP required units for specified measurements</t>
  </si>
  <si>
    <t>Units for measurements other than specified by TP</t>
  </si>
  <si>
    <t>Further Description</t>
  </si>
  <si>
    <t>Test Procedure required Accuracy</t>
  </si>
  <si>
    <t>Meets required Accuracy?</t>
  </si>
  <si>
    <r>
      <rPr>
        <b/>
        <sz val="11"/>
        <color rgb="FF000000"/>
        <rFont val="Palatino Linotype"/>
        <family val="1"/>
      </rPr>
      <t>ASHRAE 103-1993, Section 8.4.2.3: Gas and Oil-Fueled Low-Pressure Steam and Hot Water Boilers (including Direct Vent Systems)</t>
    </r>
    <r>
      <rPr>
        <b/>
        <i/>
        <sz val="11"/>
        <color rgb="FF000000"/>
        <rFont val="Palatino Linotype"/>
        <family val="1"/>
      </rPr>
      <t xml:space="preserve">
</t>
    </r>
    <r>
      <rPr>
        <i/>
        <sz val="11"/>
        <color indexed="8"/>
        <rFont val="Palatino Linotype"/>
        <family val="1"/>
      </rPr>
      <t>For non-condensing hot water boilers, the water flow rate shall be adjusted to produce a water temperature rise of 19°F to 24°F during the steady-state test described in Section 9. During the steady-state and heat-up tests, the hot water boiler shall be supplied with water having a temperature of at least 120°F but not more than 124°F.
8.4.2.3.1 For steam boilers, the steam pressure shall be at atmospheric or at any pressure not exceeding 2 psig during the steady-state test.
8.4.2.3.2 For condensing hot water boilers, the water flow rate shall be adjusted to produce a water temperature rise between 19.5°F and 20.5°F during the steady-state test described in 9.1. During the steady-state and heat-up tests, the condensing boiler shall be supplied with return water having a temperature of 120°F. The maximum permissible variation of the return water temperature from the required value during the steady-state and heat-up tests shall not exceed ±2°F, except during the first 30 seconds after start-up, when it shall not exceed ± 10°F, and between 30 and 60 seconds after start-up, when it shall not exceed ±5°F.</t>
    </r>
  </si>
  <si>
    <t>Supply Water Temperature</t>
  </si>
  <si>
    <t>Tolerance Met?</t>
  </si>
  <si>
    <t>Tolerance</t>
  </si>
  <si>
    <t>Temperature Rise</t>
  </si>
  <si>
    <t>Return Water Temperature (second 0 to second 30)</t>
  </si>
  <si>
    <t>Return Water Temperature (second 30 to second 60)</t>
  </si>
  <si>
    <t>Return Water Temperature (second 60 to end of test)</t>
  </si>
  <si>
    <t>psig</t>
  </si>
  <si>
    <r>
      <rPr>
        <b/>
        <sz val="11"/>
        <rFont val="Palatino Linotype"/>
        <family val="1"/>
      </rPr>
      <t>Appendix N, Section 8.7: Cool-down test for gas- and oil-fueled boilers</t>
    </r>
    <r>
      <rPr>
        <i/>
        <sz val="11"/>
        <rFont val="Palatino Linotype"/>
        <family val="1"/>
      </rPr>
      <t xml:space="preserve">
After steady-state testing has been completed, turn the main burner(s) “OFF” and measure the flue gas temperature at 3.75 minutes (temperature designated as T</t>
    </r>
    <r>
      <rPr>
        <i/>
        <vertAlign val="subscript"/>
        <sz val="11"/>
        <rFont val="Palatino Linotype"/>
        <family val="1"/>
      </rPr>
      <t>F,OFF</t>
    </r>
    <r>
      <rPr>
        <i/>
        <sz val="11"/>
        <rFont val="Palatino Linotype"/>
        <family val="1"/>
      </rPr>
      <t>(t</t>
    </r>
    <r>
      <rPr>
        <i/>
        <vertAlign val="subscript"/>
        <sz val="11"/>
        <rFont val="Palatino Linotype"/>
        <family val="1"/>
      </rPr>
      <t>3</t>
    </r>
    <r>
      <rPr>
        <i/>
        <sz val="11"/>
        <rFont val="Palatino Linotype"/>
        <family val="1"/>
      </rPr>
      <t>)) and 22.5 minutes (temperature designated as T</t>
    </r>
    <r>
      <rPr>
        <i/>
        <vertAlign val="subscript"/>
        <sz val="11"/>
        <rFont val="Palatino Linotype"/>
        <family val="1"/>
      </rPr>
      <t>F,OFF</t>
    </r>
    <r>
      <rPr>
        <i/>
        <sz val="11"/>
        <rFont val="Palatino Linotype"/>
        <family val="1"/>
      </rPr>
      <t>(t</t>
    </r>
    <r>
      <rPr>
        <i/>
        <vertAlign val="subscript"/>
        <sz val="11"/>
        <rFont val="Palatino Linotype"/>
        <family val="1"/>
      </rPr>
      <t>4</t>
    </r>
    <r>
      <rPr>
        <i/>
        <sz val="11"/>
        <rFont val="Palatino Linotype"/>
        <family val="1"/>
      </rPr>
      <t>)) after the burner shut-off using the thermocouple grid described in section 7.6 of ASHRAE 103-1993.
a. During this off-period, for units that do not have pump delay after shut-off, do not allow any water to circulate through the hot water boilers.
b. For units that have pump delay on shut-off, except those having pump controls sensing water temperature, the unit control must stop the pump. Measure and record the time between burner shut-off and pump shut-off (t</t>
    </r>
    <r>
      <rPr>
        <i/>
        <vertAlign val="superscript"/>
        <sz val="11"/>
        <rFont val="Palatino Linotype"/>
        <family val="1"/>
      </rPr>
      <t>+</t>
    </r>
    <r>
      <rPr>
        <i/>
        <sz val="11"/>
        <rFont val="Palatino Linotype"/>
        <family val="1"/>
      </rPr>
      <t>) to the nearest second.
c. For units having pump delay controls that sense water temperature, operate the pump for 15 minutes and record t</t>
    </r>
    <r>
      <rPr>
        <i/>
        <vertAlign val="superscript"/>
        <sz val="11"/>
        <rFont val="Palatino Linotype"/>
        <family val="1"/>
      </rPr>
      <t>+</t>
    </r>
    <r>
      <rPr>
        <i/>
        <sz val="11"/>
        <rFont val="Palatino Linotype"/>
        <family val="1"/>
      </rPr>
      <t xml:space="preserve"> as 15 minutes. While the pump is operating, maintain the inlet water temperature and flow rate at the same values as used during the steady-state test, as specified in sections 9.1 and 8.4.2.3 of ASHRAE 103-1993.
d. For boilers that employ post-purge, measure the length of the post-purge period with a stopwatch. Record the time from burner “OFF” to combustion blower “OFF” (electrically de-energized) as t</t>
    </r>
    <r>
      <rPr>
        <i/>
        <vertAlign val="subscript"/>
        <sz val="11"/>
        <rFont val="Palatino Linotype"/>
        <family val="1"/>
      </rPr>
      <t>P</t>
    </r>
    <r>
      <rPr>
        <i/>
        <sz val="11"/>
        <rFont val="Palatino Linotype"/>
        <family val="1"/>
      </rPr>
      <t>. If t</t>
    </r>
    <r>
      <rPr>
        <i/>
        <vertAlign val="subscript"/>
        <sz val="11"/>
        <rFont val="Palatino Linotype"/>
        <family val="1"/>
      </rPr>
      <t>P</t>
    </r>
    <r>
      <rPr>
        <i/>
        <sz val="11"/>
        <rFont val="Palatino Linotype"/>
        <family val="1"/>
      </rPr>
      <t xml:space="preserve"> is prescribed by the I&amp;O manual or measured to be greater than 180 seconds, stop the combustion blower at 180 seconds and use that value for t</t>
    </r>
    <r>
      <rPr>
        <i/>
        <vertAlign val="subscript"/>
        <sz val="11"/>
        <rFont val="Palatino Linotype"/>
        <family val="1"/>
      </rPr>
      <t>P</t>
    </r>
    <r>
      <rPr>
        <i/>
        <sz val="11"/>
        <rFont val="Palatino Linotype"/>
        <family val="1"/>
      </rPr>
      <t>. Measure the flue gas temperature by means of the thermocouple grid described in section 7.6 of ASHRAE 103-1993 at the end of the post-purge period t</t>
    </r>
    <r>
      <rPr>
        <i/>
        <vertAlign val="subscript"/>
        <sz val="11"/>
        <rFont val="Palatino Linotype"/>
        <family val="1"/>
      </rPr>
      <t>P</t>
    </r>
    <r>
      <rPr>
        <i/>
        <sz val="11"/>
        <rFont val="Palatino Linotype"/>
        <family val="1"/>
      </rPr>
      <t xml:space="preserve"> (T</t>
    </r>
    <r>
      <rPr>
        <i/>
        <vertAlign val="subscript"/>
        <sz val="11"/>
        <rFont val="Palatino Linotype"/>
        <family val="1"/>
      </rPr>
      <t>F,OFF</t>
    </r>
    <r>
      <rPr>
        <i/>
        <sz val="11"/>
        <rFont val="Palatino Linotype"/>
        <family val="1"/>
      </rPr>
      <t>(t</t>
    </r>
    <r>
      <rPr>
        <i/>
        <vertAlign val="subscript"/>
        <sz val="11"/>
        <rFont val="Palatino Linotype"/>
        <family val="1"/>
      </rPr>
      <t>P</t>
    </r>
    <r>
      <rPr>
        <i/>
        <sz val="11"/>
        <rFont val="Palatino Linotype"/>
        <family val="1"/>
      </rPr>
      <t>)) and at (3.75 + t</t>
    </r>
    <r>
      <rPr>
        <i/>
        <vertAlign val="subscript"/>
        <sz val="11"/>
        <rFont val="Palatino Linotype"/>
        <family val="1"/>
      </rPr>
      <t>P</t>
    </r>
    <r>
      <rPr>
        <i/>
        <sz val="11"/>
        <rFont val="Palatino Linotype"/>
        <family val="1"/>
      </rPr>
      <t>) minutes (T</t>
    </r>
    <r>
      <rPr>
        <i/>
        <vertAlign val="subscript"/>
        <sz val="11"/>
        <rFont val="Palatino Linotype"/>
        <family val="1"/>
      </rPr>
      <t>F,OFF</t>
    </r>
    <r>
      <rPr>
        <i/>
        <sz val="11"/>
        <rFont val="Palatino Linotype"/>
        <family val="1"/>
      </rPr>
      <t>(t</t>
    </r>
    <r>
      <rPr>
        <i/>
        <vertAlign val="subscript"/>
        <sz val="11"/>
        <rFont val="Palatino Linotype"/>
        <family val="1"/>
      </rPr>
      <t>3</t>
    </r>
    <r>
      <rPr>
        <i/>
        <sz val="11"/>
        <rFont val="Palatino Linotype"/>
        <family val="1"/>
      </rPr>
      <t>)) and (22.5 + t</t>
    </r>
    <r>
      <rPr>
        <i/>
        <vertAlign val="subscript"/>
        <sz val="11"/>
        <rFont val="Palatino Linotype"/>
        <family val="1"/>
      </rPr>
      <t>P</t>
    </r>
    <r>
      <rPr>
        <i/>
        <sz val="11"/>
        <rFont val="Palatino Linotype"/>
        <family val="1"/>
      </rPr>
      <t>) minutes (T</t>
    </r>
    <r>
      <rPr>
        <i/>
        <vertAlign val="subscript"/>
        <sz val="11"/>
        <rFont val="Palatino Linotype"/>
        <family val="1"/>
      </rPr>
      <t>F,OFF</t>
    </r>
    <r>
      <rPr>
        <i/>
        <sz val="11"/>
        <rFont val="Palatino Linotype"/>
        <family val="1"/>
      </rPr>
      <t>(t</t>
    </r>
    <r>
      <rPr>
        <i/>
        <vertAlign val="subscript"/>
        <sz val="11"/>
        <rFont val="Palatino Linotype"/>
        <family val="1"/>
      </rPr>
      <t>4</t>
    </r>
    <r>
      <rPr>
        <i/>
        <sz val="11"/>
        <rFont val="Palatino Linotype"/>
        <family val="1"/>
      </rPr>
      <t>)) after the main burner shuts off. If the measured t</t>
    </r>
    <r>
      <rPr>
        <i/>
        <vertAlign val="subscript"/>
        <sz val="11"/>
        <rFont val="Palatino Linotype"/>
        <family val="1"/>
      </rPr>
      <t>P</t>
    </r>
    <r>
      <rPr>
        <i/>
        <sz val="11"/>
        <rFont val="Palatino Linotype"/>
        <family val="1"/>
      </rPr>
      <t xml:space="preserve"> is less than or equal to 30 seconds, record t</t>
    </r>
    <r>
      <rPr>
        <i/>
        <vertAlign val="subscript"/>
        <sz val="11"/>
        <rFont val="Palatino Linotype"/>
        <family val="1"/>
      </rPr>
      <t>P</t>
    </r>
    <r>
      <rPr>
        <i/>
        <sz val="11"/>
        <rFont val="Palatino Linotype"/>
        <family val="1"/>
      </rPr>
      <t xml:space="preserve"> as 0 and conduct the cool-down test as if there is no post-purge.</t>
    </r>
  </si>
  <si>
    <r>
      <rPr>
        <b/>
        <sz val="11"/>
        <rFont val="Palatino Linotype"/>
        <family val="1"/>
      </rPr>
      <t>ASHRAE 103-1993, Section 9.9.2: Furnaces and Boilers Equipped with Stack Dampers, Cool-Down Test</t>
    </r>
    <r>
      <rPr>
        <i/>
        <sz val="11"/>
        <rFont val="Palatino Linotype"/>
        <family val="1"/>
      </rPr>
      <t xml:space="preserve">
Conduct the cool-down test as prescribed in 9.5, with the following modifications.
9.9.2.1 For units with integral draft diverters or draft hoods, bypass the damper control so the damper remains open during the test.
9.9.2.2 For units with barometric draft regulators, the stack damper shall be permitted to close in the normal manner as it responds to the controls.</t>
    </r>
  </si>
  <si>
    <r>
      <rPr>
        <b/>
        <sz val="11"/>
        <rFont val="Palatino Linotype"/>
        <family val="1"/>
      </rPr>
      <t>ASHRAE 103-1993, Sections 9.5.2.2 - 9.5.2.5</t>
    </r>
    <r>
      <rPr>
        <i/>
        <sz val="11"/>
        <rFont val="Palatino Linotype"/>
        <family val="1"/>
      </rPr>
      <t xml:space="preserve">
9.5.2.2 Make a third flue gas temperature measurement 45 minutes after the burner shuts off to determine the off-period minimum flue gas temperature (T</t>
    </r>
    <r>
      <rPr>
        <i/>
        <vertAlign val="subscript"/>
        <sz val="11"/>
        <rFont val="Palatino Linotype"/>
        <family val="1"/>
      </rPr>
      <t>F,OFF</t>
    </r>
    <r>
      <rPr>
        <i/>
        <sz val="11"/>
        <rFont val="Palatino Linotype"/>
        <family val="1"/>
      </rPr>
      <t>(t</t>
    </r>
    <r>
      <rPr>
        <i/>
        <vertAlign val="subscript"/>
        <sz val="11"/>
        <rFont val="Palatino Linotype"/>
        <family val="1"/>
      </rPr>
      <t>5</t>
    </r>
    <r>
      <rPr>
        <i/>
        <sz val="11"/>
        <rFont val="Palatino Linotype"/>
        <family val="1"/>
      </rPr>
      <t>)). 
9.5.2.3 During this cool-down test, measure the energy input rate to the pilot light (Q</t>
    </r>
    <r>
      <rPr>
        <i/>
        <vertAlign val="subscript"/>
        <sz val="11"/>
        <rFont val="Palatino Linotype"/>
        <family val="1"/>
      </rPr>
      <t>p</t>
    </r>
    <r>
      <rPr>
        <i/>
        <sz val="11"/>
        <rFont val="Palatino Linotype"/>
        <family val="1"/>
      </rPr>
      <t>), if the unit is so equipped, to within an error no larger than ±3 %. Record all measured values. For oil-fueled or power gas burner units employing barometric dampers for draft control and not equipped with stack dampers, maintain the draft in the flue within the same ranges specified in 9.5.1.2.
9.5.2.4 For boilers equipped with step modulating controls, the cool-down test shall be conducted after steady-state conditions have been reached at the reduced input rate, as specified in 8.4.1.1.2.
9.5.2.5 For boilers equipped with two-stage controls, separate cool-down tests shall be conducted after steady-state conditions have been reached at both the reduced and maximum fuel input rates.</t>
    </r>
  </si>
  <si>
    <r>
      <rPr>
        <b/>
        <sz val="11"/>
        <rFont val="Palatino Linotype"/>
        <family val="1"/>
      </rPr>
      <t>ASHRAE 103-1993, Sections 9.6.2: Flue Gas Temperature Measurement - Heat-Up Test, Gas and Oil-Fueled Boilers</t>
    </r>
    <r>
      <rPr>
        <i/>
        <sz val="11"/>
        <rFont val="Palatino Linotype"/>
        <family val="1"/>
      </rPr>
      <t xml:space="preserve">
Approximately 50 minutes after the main burner(s) is turned off for the cool-down test, turn on the steam or hot water boiler and measure the flue gas temperature at 1.0 (T</t>
    </r>
    <r>
      <rPr>
        <i/>
        <vertAlign val="subscript"/>
        <sz val="11"/>
        <rFont val="Palatino Linotype"/>
        <family val="1"/>
      </rPr>
      <t>F,ON</t>
    </r>
    <r>
      <rPr>
        <i/>
        <sz val="11"/>
        <rFont val="Palatino Linotype"/>
        <family val="1"/>
      </rPr>
      <t>(t</t>
    </r>
    <r>
      <rPr>
        <i/>
        <vertAlign val="subscript"/>
        <sz val="11"/>
        <rFont val="Palatino Linotype"/>
        <family val="1"/>
      </rPr>
      <t>1</t>
    </r>
    <r>
      <rPr>
        <i/>
        <sz val="11"/>
        <rFont val="Palatino Linotype"/>
        <family val="1"/>
      </rPr>
      <t>)) and 5.5 (T</t>
    </r>
    <r>
      <rPr>
        <i/>
        <vertAlign val="subscript"/>
        <sz val="11"/>
        <rFont val="Palatino Linotype"/>
        <family val="1"/>
      </rPr>
      <t>F,ON</t>
    </r>
    <r>
      <rPr>
        <i/>
        <sz val="11"/>
        <rFont val="Palatino Linotype"/>
        <family val="1"/>
      </rPr>
      <t>(t</t>
    </r>
    <r>
      <rPr>
        <i/>
        <vertAlign val="subscript"/>
        <sz val="11"/>
        <rFont val="Palatino Linotype"/>
        <family val="1"/>
      </rPr>
      <t>2</t>
    </r>
    <r>
      <rPr>
        <i/>
        <sz val="11"/>
        <rFont val="Palatino Linotype"/>
        <family val="1"/>
      </rPr>
      <t>)) minutes after the main burner(s) comes on. The pump circulating the water through the hot water boiler shall be started simultaneously with the main burner(s). The water flow rate shall be the same as that maintained during the steady-state test. During the heat-up test for boilers with barometric draft regulators, maintain the draft in the flue pipe within ±0.01 in. water of the manufacturer's recommended on-period draft. Record the measured temperatures.
9.6.2.1 For boilers equipped with step modulating controls, the heat-up test shall be conducted at the reduced fuel input rate.
9.6.2.2 For boilers equipped with two-stage controls, separate heat-up tests shall be conducted at both the reduced and maximum fuel input rates.</t>
    </r>
  </si>
  <si>
    <r>
      <t>For units that have applied the test method in section 7.10 of this appendix to determine that no measurable airflow exists through the combustion chamber and heat exchanger during the burner off-period and having post-purge periods of less than 5 seconds, the cool-down and heat-up tests specified in sections 9.5 and 9.6 of ASHRAE 103-1993 may be omitted. In lieu of conducting the cool-down and heat-up tests, the tester may use the losses determined during the steady-state test described in section 9.1 of ASHRAE 103-1993 when calculating heating seasonal efficiency, Effy</t>
    </r>
    <r>
      <rPr>
        <i/>
        <vertAlign val="subscript"/>
        <sz val="11"/>
        <rFont val="Palatino Linotype"/>
        <family val="1"/>
      </rPr>
      <t>HS</t>
    </r>
    <r>
      <rPr>
        <i/>
        <sz val="11"/>
        <rFont val="Palatino Linotype"/>
        <family val="1"/>
      </rPr>
      <t>.</t>
    </r>
  </si>
  <si>
    <r>
      <rPr>
        <b/>
        <sz val="11"/>
        <color rgb="FF000000"/>
        <rFont val="Palatino Linotype"/>
        <family val="1"/>
      </rPr>
      <t xml:space="preserve">Appendix N, Section 8.0: Test procedure. </t>
    </r>
    <r>
      <rPr>
        <i/>
        <sz val="11"/>
        <color indexed="8"/>
        <rFont val="Palatino Linotype"/>
        <family val="1"/>
      </rPr>
      <t xml:space="preserve">
Conduct testing and measurements as specified in section 9 of ASHRAE 103-1993 except for sections 9.1.2.2.1, 9.1.2.2.2 and as specified in sections 8.1 through 8.3 of this appendix.</t>
    </r>
  </si>
  <si>
    <r>
      <t xml:space="preserve">For units with step-modulating or two-stage controls, conduct the test at both the maximum and reduced inputs.
Begin a steady-state condensate collection immediately after the steady-state test has been completed as specified in 9.1.2 
</t>
    </r>
    <r>
      <rPr>
        <b/>
        <i/>
        <sz val="11"/>
        <rFont val="Palatino Linotype"/>
        <family val="1"/>
      </rPr>
      <t>OR</t>
    </r>
    <r>
      <rPr>
        <i/>
        <sz val="11"/>
        <rFont val="Palatino Linotype"/>
        <family val="1"/>
      </rPr>
      <t xml:space="preserve"> in lieu of collecting the condensate immediately after the steady state conditions have been reached as required by section 9.2 of ASHRAE 103-1993, condensate may be collected during the establishment of steady state conditions as defined by section 9.1.2.1 of ASHRAE 103-1993.
Perform condensate collection for at least 30 minutes. Measure condensate mass immediately at the end of the collection period to prevent evaporation loss from the sample. Record fuel input for the 30-minute condensate collection test period. Observe and record fuel higher heating value (HHV), temperature, and pressures necessary for determining fuel energy input (Q</t>
    </r>
    <r>
      <rPr>
        <i/>
        <vertAlign val="subscript"/>
        <sz val="11"/>
        <rFont val="Palatino Linotype"/>
        <family val="1"/>
      </rPr>
      <t>C,SS</t>
    </r>
    <r>
      <rPr>
        <i/>
        <sz val="11"/>
        <rFont val="Palatino Linotype"/>
        <family val="1"/>
      </rPr>
      <t>). Measure the fuel quantity and HHV with errors no greater than 1%. The humidity for the room air shall at no time exceed 80%. Determine the mass of condensate for the establishment of steady state conditions (M</t>
    </r>
    <r>
      <rPr>
        <i/>
        <vertAlign val="subscript"/>
        <sz val="11"/>
        <rFont val="Palatino Linotype"/>
        <family val="1"/>
      </rPr>
      <t>C,SS</t>
    </r>
    <r>
      <rPr>
        <i/>
        <sz val="11"/>
        <rFont val="Palatino Linotype"/>
        <family val="1"/>
      </rPr>
      <t>) in pounds by subtracting the tare container weight from the total container and condensate weight measured at the end of the 30-minute condensate collection test period.</t>
    </r>
  </si>
  <si>
    <r>
      <rPr>
        <b/>
        <sz val="11"/>
        <rFont val="Palatino Linotype"/>
        <family val="1"/>
      </rPr>
      <t xml:space="preserve">ASHRAE 103-1993, Section 9.7.1: Feeding Tracer Gas </t>
    </r>
    <r>
      <rPr>
        <sz val="11"/>
        <rFont val="Palatino Linotype"/>
        <family val="1"/>
      </rPr>
      <t xml:space="preserve">
</t>
    </r>
    <r>
      <rPr>
        <i/>
        <sz val="11"/>
        <rFont val="Palatino Linotype"/>
        <family val="1"/>
      </rPr>
      <t>The tracer gas chosen for this task should have a density that is less than or approximately equal to the density of air. Use a gas that is of a different chemical species or different concentration from the flue gas to be measured and unreactive with the environment to be encountered. Within one minute after the power burner or draft inducer is shut off to start the cool-down test for determining D</t>
    </r>
    <r>
      <rPr>
        <i/>
        <vertAlign val="subscript"/>
        <sz val="11"/>
        <rFont val="Palatino Linotype"/>
        <family val="1"/>
      </rPr>
      <t>P</t>
    </r>
    <r>
      <rPr>
        <i/>
        <sz val="11"/>
        <rFont val="Palatino Linotype"/>
        <family val="1"/>
      </rPr>
      <t>, begin feeding a tracer gas into the combustion chamber at a constant flow rate, V</t>
    </r>
    <r>
      <rPr>
        <i/>
        <vertAlign val="subscript"/>
        <sz val="11"/>
        <rFont val="Palatino Linotype"/>
        <family val="1"/>
      </rPr>
      <t>T</t>
    </r>
    <r>
      <rPr>
        <i/>
        <sz val="11"/>
        <rFont val="Palatino Linotype"/>
        <family val="1"/>
      </rPr>
      <t>, and at a point that will allow for the best possible mixing with the air flowing through the chamber. (On units equipped with an oil-fired power burner, the best location for injecting this tracer gas appears to be through a hole drilled in the air tube.) Periodically measure the value of V</t>
    </r>
    <r>
      <rPr>
        <i/>
        <vertAlign val="subscript"/>
        <sz val="11"/>
        <rFont val="Palatino Linotype"/>
        <family val="1"/>
      </rPr>
      <t>T</t>
    </r>
    <r>
      <rPr>
        <i/>
        <sz val="11"/>
        <rFont val="Palatino Linotype"/>
        <family val="1"/>
      </rPr>
      <t xml:space="preserve"> with an instantaneously reading flowmeter having an accuracy of ±3 % of the quantity measured and maintain that value at less than 1 % of the airflow rate through the furnace. If a combustible tracer gas is used, there should be a delay period between the time the unit is shut off and the time the tracer gas is first injected to prevent ignition of the tracer gas.</t>
    </r>
  </si>
  <si>
    <r>
      <t xml:space="preserve">Appendix N, Section 8.9: Calculation options. 
</t>
    </r>
    <r>
      <rPr>
        <i/>
        <sz val="11"/>
        <rFont val="Palatino Linotype"/>
        <family val="1"/>
      </rPr>
      <t>The rate of the flue gas mass flow through the furnace and the factors D</t>
    </r>
    <r>
      <rPr>
        <i/>
        <vertAlign val="subscript"/>
        <sz val="11"/>
        <rFont val="Palatino Linotype"/>
        <family val="1"/>
      </rPr>
      <t>P</t>
    </r>
    <r>
      <rPr>
        <i/>
        <sz val="11"/>
        <rFont val="Palatino Linotype"/>
        <family val="1"/>
      </rPr>
      <t>, D</t>
    </r>
    <r>
      <rPr>
        <i/>
        <vertAlign val="subscript"/>
        <sz val="11"/>
        <rFont val="Palatino Linotype"/>
        <family val="1"/>
      </rPr>
      <t>F</t>
    </r>
    <r>
      <rPr>
        <i/>
        <sz val="11"/>
        <rFont val="Palatino Linotype"/>
        <family val="1"/>
      </rPr>
      <t>, and D</t>
    </r>
    <r>
      <rPr>
        <i/>
        <vertAlign val="subscript"/>
        <sz val="11"/>
        <rFont val="Palatino Linotype"/>
        <family val="1"/>
      </rPr>
      <t>S</t>
    </r>
    <r>
      <rPr>
        <i/>
        <sz val="11"/>
        <rFont val="Palatino Linotype"/>
        <family val="1"/>
      </rPr>
      <t xml:space="preserve"> are calculated by the equations in sections 11.6.1, 11.6.2, 11.6.3, 11.6.4, 11.7.1, and 11.7.2 of ASHRAE 103-1993. On units whose design is such that there is no measurable airflow through the combustion chamber and heat exchanger when the burner(s) is (are) off (as determined by the optional test procedure in section 7.10 of this appendix), D</t>
    </r>
    <r>
      <rPr>
        <i/>
        <vertAlign val="subscript"/>
        <sz val="11"/>
        <rFont val="Palatino Linotype"/>
        <family val="1"/>
      </rPr>
      <t>F</t>
    </r>
    <r>
      <rPr>
        <i/>
        <sz val="11"/>
        <rFont val="Palatino Linotype"/>
        <family val="1"/>
      </rPr>
      <t xml:space="preserve"> and D</t>
    </r>
    <r>
      <rPr>
        <i/>
        <vertAlign val="subscript"/>
        <sz val="11"/>
        <rFont val="Palatino Linotype"/>
        <family val="1"/>
      </rPr>
      <t>P</t>
    </r>
    <r>
      <rPr>
        <i/>
        <sz val="11"/>
        <rFont val="Palatino Linotype"/>
        <family val="1"/>
      </rPr>
      <t xml:space="preserve"> may be set equal to 0.05.</t>
    </r>
  </si>
  <si>
    <r>
      <t xml:space="preserve">ASHRAE 103-1993, Section 9.7.3: Timing 
</t>
    </r>
    <r>
      <rPr>
        <i/>
        <sz val="11"/>
        <rFont val="Palatino Linotype"/>
        <family val="1"/>
      </rPr>
      <t>Between 5 and 6 minutes after the unit is shut off to start the cool-down test, measure the percent volumetric concentration of tracer gas present in the diluted flue gas sample, C</t>
    </r>
    <r>
      <rPr>
        <i/>
        <vertAlign val="subscript"/>
        <sz val="11"/>
        <rFont val="Palatino Linotype"/>
        <family val="1"/>
      </rPr>
      <t>T</t>
    </r>
    <r>
      <rPr>
        <i/>
        <sz val="11"/>
        <rFont val="Palatino Linotype"/>
        <family val="1"/>
      </rPr>
      <t xml:space="preserve">
At the same time, for units where draft is not maintained, measure the flue gas temperature, T</t>
    </r>
    <r>
      <rPr>
        <i/>
        <vertAlign val="subscript"/>
        <sz val="11"/>
        <rFont val="Palatino Linotype"/>
        <family val="1"/>
      </rPr>
      <t>F,OFF</t>
    </r>
    <r>
      <rPr>
        <i/>
        <sz val="11"/>
        <rFont val="Palatino Linotype"/>
        <family val="1"/>
      </rPr>
      <t>, using the thermocouple grid described in 7.6. 
For systems that employ post purge, with a post-purge time period t</t>
    </r>
    <r>
      <rPr>
        <i/>
        <vertAlign val="subscript"/>
        <sz val="11"/>
        <rFont val="Palatino Linotype"/>
        <family val="1"/>
      </rPr>
      <t>P</t>
    </r>
    <r>
      <rPr>
        <i/>
        <sz val="11"/>
        <rFont val="Palatino Linotype"/>
        <family val="1"/>
      </rPr>
      <t>, measure the percent volumetric concentration of the tracer gas present in the diluted flue gas sample, C</t>
    </r>
    <r>
      <rPr>
        <i/>
        <vertAlign val="subscript"/>
        <sz val="11"/>
        <rFont val="Palatino Linotype"/>
        <family val="1"/>
      </rPr>
      <t>T</t>
    </r>
    <r>
      <rPr>
        <i/>
        <sz val="11"/>
        <rFont val="Palatino Linotype"/>
        <family val="1"/>
      </rPr>
      <t>, at between (5 + t</t>
    </r>
    <r>
      <rPr>
        <i/>
        <vertAlign val="subscript"/>
        <sz val="11"/>
        <rFont val="Palatino Linotype"/>
        <family val="1"/>
      </rPr>
      <t>P</t>
    </r>
    <r>
      <rPr>
        <i/>
        <sz val="11"/>
        <rFont val="Palatino Linotype"/>
        <family val="1"/>
      </rPr>
      <t>) and (6 + t</t>
    </r>
    <r>
      <rPr>
        <i/>
        <vertAlign val="subscript"/>
        <sz val="11"/>
        <rFont val="Palatino Linotype"/>
        <family val="1"/>
      </rPr>
      <t>P</t>
    </r>
    <r>
      <rPr>
        <i/>
        <sz val="11"/>
        <rFont val="Palatino Linotype"/>
        <family val="1"/>
      </rPr>
      <t>) minutes after the burner is shut off. During the same time period, for units where draft is not maintained, measure the flue gas temperature, T</t>
    </r>
    <r>
      <rPr>
        <i/>
        <vertAlign val="subscript"/>
        <sz val="11"/>
        <rFont val="Palatino Linotype"/>
        <family val="1"/>
      </rPr>
      <t>F,OFF</t>
    </r>
    <r>
      <rPr>
        <i/>
        <sz val="11"/>
        <rFont val="Palatino Linotype"/>
        <family val="1"/>
      </rPr>
      <t>, using the thermocouple grid described in 7.6.</t>
    </r>
  </si>
  <si>
    <r>
      <t xml:space="preserve">ASHRAE 103-1993, Section 9.7.2: Measurement 
</t>
    </r>
    <r>
      <rPr>
        <i/>
        <sz val="11"/>
        <rFont val="Palatino Linotype"/>
        <family val="1"/>
      </rPr>
      <t>Obtain the concentration of tracer gas present in the flue gas sample (C</t>
    </r>
    <r>
      <rPr>
        <i/>
        <vertAlign val="subscript"/>
        <sz val="11"/>
        <rFont val="Palatino Linotype"/>
        <family val="1"/>
      </rPr>
      <t>T</t>
    </r>
    <r>
      <rPr>
        <i/>
        <sz val="11"/>
        <rFont val="Palatino Linotype"/>
        <family val="1"/>
      </rPr>
      <t>) using an instrument that will result in an accuracy of ±2 % in the measured value. If the use of a continuously reading type instrument results in a delay time between the drawing of a sample and its analysis, take this delay into account so the temperature measurement and the measurement of tracer gas concentration coincide. Determine the temperature of the tracer gas entering the flowmeter (T</t>
    </r>
    <r>
      <rPr>
        <i/>
        <vertAlign val="subscript"/>
        <sz val="11"/>
        <rFont val="Palatino Linotype"/>
        <family val="1"/>
      </rPr>
      <t>T</t>
    </r>
    <r>
      <rPr>
        <i/>
        <sz val="11"/>
        <rFont val="Palatino Linotype"/>
        <family val="1"/>
      </rPr>
      <t>) and the barometric pressure (P</t>
    </r>
    <r>
      <rPr>
        <i/>
        <vertAlign val="subscript"/>
        <sz val="11"/>
        <rFont val="Palatino Linotype"/>
        <family val="1"/>
      </rPr>
      <t>B</t>
    </r>
    <r>
      <rPr>
        <i/>
        <sz val="11"/>
        <rFont val="Palatino Linotype"/>
        <family val="1"/>
      </rPr>
      <t>).</t>
    </r>
  </si>
  <si>
    <r>
      <t xml:space="preserve">ASHRAE 103-1993, Section 9.7.5: Modulating Units 
</t>
    </r>
    <r>
      <rPr>
        <i/>
        <sz val="11"/>
        <rFont val="Palatino Linotype"/>
        <family val="1"/>
      </rPr>
      <t>For units with two-stage modulating controls, the optional tracer gas test shall be conducted at both the maximum and the reduced inputs. 
For units with step modulating controls, the optional tracer gas test shall be conducted at the reduced input only.</t>
    </r>
  </si>
  <si>
    <r>
      <t>9.7.6.1 The tracer gas chosen for this task should have a density that is less than or approximately equal to the density of air. Use a gas that is of a different chemical species or different concentration from the flue gas to be measured and unreactive with the environment to be encountered. Obtain the concentration of tracer gas present in the flue gas sample (Cr) using an analyzer or instrument that will result in an accuracy of ±2 % in the measured value. Determine the temperature of the tracer gas entering the flowmeter (Tr) and the barometric pressure (P</t>
    </r>
    <r>
      <rPr>
        <i/>
        <vertAlign val="subscript"/>
        <sz val="11"/>
        <rFont val="Palatino Linotype"/>
        <family val="1"/>
      </rPr>
      <t>B</t>
    </r>
    <r>
      <rPr>
        <i/>
        <sz val="11"/>
        <rFont val="Palatino Linotype"/>
        <family val="1"/>
      </rPr>
      <t>).</t>
    </r>
  </si>
  <si>
    <r>
      <t>9.7.6.2 After the completion of the heat-up test in 9.6, tum the burner OFF. On units equipped with integral draft diverters, remove the blocking over the draft diverter and the restriction in the test stack that were installed during the steady-state test in 9.1.4. Do not remove the insulation covering the draft diverter surfaces. On units equipped with a draft hood, cover the 5-ft stack with insulation having an R-value not less than 7 and an outer layer of aluminum foil as described in 8.8.5. In the meantime, sample and feed the ambient air to the tracer gas analyzer and record the background concentration C</t>
    </r>
    <r>
      <rPr>
        <i/>
        <vertAlign val="subscript"/>
        <sz val="11"/>
        <rFont val="Palatino Linotype"/>
        <family val="1"/>
      </rPr>
      <t>TB</t>
    </r>
    <r>
      <rPr>
        <i/>
        <sz val="11"/>
        <rFont val="Palatino Linotype"/>
        <family val="1"/>
      </rPr>
      <t xml:space="preserve"> of the tracer gas to be used for the test. (One data point is usually sufficient.)</t>
    </r>
  </si>
  <si>
    <r>
      <t>9.7.6.3 Tum the burner ON until steady-state conditions are again achieved as specified in 9 .1.2.1. Turn the burner OFF for a 10-minute cool-down period. Adjust or bypass the electro-mechanical damper (inlet damper or flue damper) so that it remains open during this cool-down period. Within one minute after the unit is shut off to start this cool-down test, begin feeding a tracer gas with a known, certified concentration C</t>
    </r>
    <r>
      <rPr>
        <i/>
        <vertAlign val="subscript"/>
        <sz val="11"/>
        <rFont val="Palatino Linotype"/>
        <family val="1"/>
      </rPr>
      <t>TM</t>
    </r>
    <r>
      <rPr>
        <i/>
        <sz val="11"/>
        <rFont val="Palatino Linotype"/>
        <family val="1"/>
      </rPr>
      <t xml:space="preserve"> at a constant flow rate V</t>
    </r>
    <r>
      <rPr>
        <i/>
        <vertAlign val="subscript"/>
        <sz val="11"/>
        <rFont val="Palatino Linotype"/>
        <family val="1"/>
      </rPr>
      <t>T</t>
    </r>
    <r>
      <rPr>
        <i/>
        <sz val="11"/>
        <rFont val="Palatino Linotype"/>
        <family val="1"/>
      </rPr>
      <t xml:space="preserve"> into the lower part of the test stack just above the test plane where the stack thermocouple grid is located (see 8.2.1.5.1). Periodically measure the value of V</t>
    </r>
    <r>
      <rPr>
        <i/>
        <vertAlign val="subscript"/>
        <sz val="11"/>
        <rFont val="Palatino Linotype"/>
        <family val="1"/>
      </rPr>
      <t>T</t>
    </r>
    <r>
      <rPr>
        <i/>
        <sz val="11"/>
        <rFont val="Palatino Linotype"/>
        <family val="1"/>
      </rPr>
      <t xml:space="preserve"> with an instantaneously reading flowmeter having an accuracy of ±3 % of the quantity measured and maintain that value of tracer gas flow rate at less than 1 % of the airflow rate through the test stack.</t>
    </r>
  </si>
  <si>
    <t>9.7.6.4 Within one minute after the tracer gas flow is started, connect the tracer gas sampling line to the sampling probe located at a plane inside and 6 in. below the top exit of the test stack. Measure the transport delay time that is equal to the time between the connecting of the sampling line and the initial response of the tracer gas analyzer. Add to this transport time the time required for the analyzer to reach 90% of its steady-state value as specified in the analyzer's operation manual. The sum of these two values is the tracer gas sample delay time needed to match the concentration measurement to the temperature measurement in the off-period loss calculation. Make sure that a well-mixed sample is collected by using a multi-hole sampling probe, as recommended in Appendix D, section B. Return the sample gas (after exiting the gas analyzer) to the top of the test stack downstream of the plane of collection.</t>
  </si>
  <si>
    <r>
      <t>9.7.6.5 At five minutes after the unit is shut off to start the cool-down test, measure and record the percent volumetric concentration of tracer gas present in the stack gas sample, C</t>
    </r>
    <r>
      <rPr>
        <i/>
        <vertAlign val="subscript"/>
        <sz val="11"/>
        <rFont val="Palatino Linotype"/>
        <family val="1"/>
      </rPr>
      <t>T</t>
    </r>
    <r>
      <rPr>
        <i/>
        <sz val="11"/>
        <rFont val="Palatino Linotype"/>
        <family val="1"/>
      </rPr>
      <t>, at the location specified in 9.7.6.4. At the same time, measure the stack gas temperature, T</t>
    </r>
    <r>
      <rPr>
        <i/>
        <vertAlign val="subscript"/>
        <sz val="11"/>
        <rFont val="Palatino Linotype"/>
        <family val="1"/>
      </rPr>
      <t>S,OFF</t>
    </r>
    <r>
      <rPr>
        <i/>
        <sz val="11"/>
        <rFont val="Palatino Linotype"/>
        <family val="1"/>
      </rPr>
      <t xml:space="preserve">, using the thermocouple grid in the test plane (see 8.2.1.5.1). The data measurement and recording should be done at a time interval, </t>
    </r>
    <r>
      <rPr>
        <sz val="11"/>
        <rFont val="Calibri"/>
        <family val="2"/>
      </rPr>
      <t>Δ</t>
    </r>
    <r>
      <rPr>
        <i/>
        <sz val="11"/>
        <rFont val="Palatino Linotype"/>
        <family val="1"/>
      </rPr>
      <t>t, of five seconds for the next two to three minutes. The exact length of time required for the tracer gas data measurement is equal to the tracer gas sample delay time (see 9.7.6.4) plus one minute. (Even though only one minute of tracer gas data is required for the computation of the off-cycle loss, the longer time is needed to take into account the time delay between the concentration data and the temperature data.) Stop the tracer gas injection and sampling after the required data are measured and recorded. Disconnect the tracer gas sampling line from the sample probe and sample the ambient air to clear the line.</t>
    </r>
  </si>
  <si>
    <r>
      <t>9.7.6.6 At the end of the 10-minute cool-down period, tum on the burner until steady-state conditions are again achieved as specified in 9.1.2.1. Tum the burner OFF for another 10-minute cool-down period. Let the electro-mechanical damper (inlet damper or flue damper) close the way it is designed to. Repeat the test steps of 9.7.6.3 through 9.7.6.5 except that the electro-mechanical damper is to remain closed. Note that the tracer gas feeding rate, V</t>
    </r>
    <r>
      <rPr>
        <i/>
        <vertAlign val="subscript"/>
        <sz val="11"/>
        <rFont val="Palatino Linotype"/>
        <family val="1"/>
      </rPr>
      <t>T</t>
    </r>
    <r>
      <rPr>
        <i/>
        <sz val="11"/>
        <rFont val="Palatino Linotype"/>
        <family val="1"/>
      </rPr>
      <t>, may have to be adjusted to a lower rate to keep the sample concentration within the range of the gas analyzer used. 
9.7.6.7 The rate of the stack gas flow through the stack, the cycle sensible loss rate, and the loss factor K</t>
    </r>
    <r>
      <rPr>
        <i/>
        <vertAlign val="subscript"/>
        <sz val="11"/>
        <rFont val="Palatino Linotype"/>
        <family val="1"/>
      </rPr>
      <t>L</t>
    </r>
    <r>
      <rPr>
        <i/>
        <sz val="11"/>
        <rFont val="Palatino Linotype"/>
        <family val="1"/>
      </rPr>
      <t xml:space="preserve"> are calculated by the equations in 11.8.1.</t>
    </r>
  </si>
  <si>
    <t>Average Ratio of Stack Gas Mass Flow Rate to Flue Gas Mass Flow Rate</t>
  </si>
  <si>
    <t>Stack Temperature Rise</t>
  </si>
  <si>
    <t>Heat Capacity and Part-Load Constants</t>
  </si>
  <si>
    <t>Calculatiom Not Affected by Outside Air</t>
  </si>
  <si>
    <t>Calculations Affected by Outside Air</t>
  </si>
  <si>
    <r>
      <t>Optional Tracer Gas Procedure for Determination of D</t>
    </r>
    <r>
      <rPr>
        <b/>
        <vertAlign val="subscript"/>
        <sz val="11"/>
        <color rgb="FF000000"/>
        <rFont val="Palatino Linotype"/>
        <family val="1"/>
      </rPr>
      <t>P</t>
    </r>
    <r>
      <rPr>
        <b/>
        <sz val="11"/>
        <color indexed="8"/>
        <rFont val="Palatino Linotype"/>
        <family val="1"/>
      </rPr>
      <t xml:space="preserve"> for Furnaces or Boilers Employing a Power Burner or Direct Vent</t>
    </r>
  </si>
  <si>
    <t>Optional Procedure for Determining Off-Cycle Draft Factors for Furnaces or Boilers Employing a Power Burner or Direct Vent</t>
  </si>
  <si>
    <t>Systems Number</t>
  </si>
  <si>
    <t>Average Annual Fuel Energy Consumption for Gas or Oil Fueled Furnaces or Boilers</t>
  </si>
  <si>
    <t>Average Annual Auxiliary Electrical Energy Consumption for Gas or Oil-Fueled Furnaces or Boilers</t>
  </si>
  <si>
    <t>Average Annual Electric Energy Consumption for Electric Furnaces or Boilers</t>
  </si>
  <si>
    <t>Average Annual Energy Consumption for Furnaces and Boilers Located in a Different Geographic Region of the United States and in Buildings with Different Design Heating Requirements</t>
  </si>
  <si>
    <t>Annual Energy Consumption for Mobile Home Furnaces</t>
  </si>
  <si>
    <t>Calculation of Sales Weighted Average Annual Energy Consumption for Mobile Home Furnaces</t>
  </si>
  <si>
    <t>Direct Determination of Off-Cycle Losses for Furnaces and Boilers Equipped with Thermal Stack Dampers</t>
  </si>
  <si>
    <r>
      <t>End: Optional Tracer Gas Test Procedures for Determining Draft Factors for D</t>
    </r>
    <r>
      <rPr>
        <b/>
        <vertAlign val="subscript"/>
        <sz val="11"/>
        <rFont val="Palatino Linotype"/>
        <family val="1"/>
      </rPr>
      <t>P</t>
    </r>
    <r>
      <rPr>
        <b/>
        <sz val="11"/>
        <rFont val="Palatino Linotype"/>
        <family val="2"/>
      </rPr>
      <t>, D</t>
    </r>
    <r>
      <rPr>
        <b/>
        <vertAlign val="subscript"/>
        <sz val="11"/>
        <rFont val="Palatino Linotype"/>
        <family val="1"/>
      </rPr>
      <t>F</t>
    </r>
    <r>
      <rPr>
        <b/>
        <sz val="11"/>
        <rFont val="Palatino Linotype"/>
        <family val="2"/>
      </rPr>
      <t>, and D</t>
    </r>
    <r>
      <rPr>
        <b/>
        <vertAlign val="subscript"/>
        <sz val="11"/>
        <rFont val="Palatino Linotype"/>
        <family val="1"/>
      </rPr>
      <t>S</t>
    </r>
    <r>
      <rPr>
        <b/>
        <sz val="11"/>
        <rFont val="Palatino Linotype"/>
        <family val="2"/>
      </rPr>
      <t xml:space="preserve"> for Systems Equipped with Power Burners or Direct Vent and Not Equipped with Stack Dampers</t>
    </r>
  </si>
  <si>
    <r>
      <t>End: Tracer Gas Test Procedures for Determining Off-Cycle Loss Factor K</t>
    </r>
    <r>
      <rPr>
        <b/>
        <vertAlign val="subscript"/>
        <sz val="11"/>
        <rFont val="Palatino Linotype"/>
        <family val="1"/>
      </rPr>
      <t>L</t>
    </r>
  </si>
  <si>
    <t>Not applicable to this test report template</t>
  </si>
  <si>
    <t>[Reserved.]</t>
  </si>
  <si>
    <r>
      <t>ρ</t>
    </r>
    <r>
      <rPr>
        <i/>
        <vertAlign val="subscript"/>
        <sz val="11"/>
        <color rgb="FF000000"/>
        <rFont val="Palatino Linotype"/>
        <family val="1"/>
      </rPr>
      <t>F</t>
    </r>
  </si>
  <si>
    <r>
      <t>lb/ft</t>
    </r>
    <r>
      <rPr>
        <vertAlign val="superscript"/>
        <sz val="11"/>
        <color rgb="FF000000"/>
        <rFont val="Palatino Linotype"/>
        <family val="1"/>
      </rPr>
      <t>3</t>
    </r>
  </si>
  <si>
    <t>With Damper Open</t>
  </si>
  <si>
    <t>With Damper Closed</t>
  </si>
  <si>
    <t>Procedure for Determining Off-Cycle Loss Factor and Off-Cycle Draft Factor for Atmospheric Furnaces or Boilers with Integral Draft Diverter or Draft Hood and Equipped with an Electro-Mechanical Inlet or Flue Damper That Restricts the Flow Through the Heat Exchanger During the Off-Cycle</t>
  </si>
  <si>
    <t>Percent by Volume of Measureable Tracer Gas in the Standard Tracer Gas Mixture</t>
  </si>
  <si>
    <t>Inlet Water Temperature (°F)</t>
  </si>
  <si>
    <t>Water Temperature Rise (°F)</t>
  </si>
  <si>
    <t>Tested Value</t>
  </si>
  <si>
    <t>Room Ambient Temperature (°F)</t>
  </si>
  <si>
    <t>Combustion/Draft Air Temperature (°F)</t>
  </si>
  <si>
    <r>
      <t>ASHRAE 103-1993, Section 8.5: Room Ambient Temperature (T</t>
    </r>
    <r>
      <rPr>
        <b/>
        <vertAlign val="subscript"/>
        <sz val="11"/>
        <color theme="1"/>
        <rFont val="Palatino Linotype"/>
        <family val="1"/>
      </rPr>
      <t>RA</t>
    </r>
    <r>
      <rPr>
        <b/>
        <sz val="11"/>
        <color theme="1"/>
        <rFont val="Palatino Linotype"/>
        <family val="1"/>
      </rPr>
      <t>)</t>
    </r>
  </si>
  <si>
    <r>
      <rPr>
        <b/>
        <sz val="11"/>
        <color theme="1"/>
        <rFont val="Palatino Linotype"/>
        <family val="1"/>
      </rPr>
      <t xml:space="preserve">ASHRAE 103-1993, Section 8.5.1: Measurement </t>
    </r>
    <r>
      <rPr>
        <i/>
        <sz val="11"/>
        <color theme="1"/>
        <rFont val="Palatino Linotype"/>
        <family val="1"/>
      </rPr>
      <t xml:space="preserve">
Room temperature shall be the arithmetic average temperature of the test area, determined by measurement with four No. 24 AWG bead-type thermocouples with junctions shielded against radiation, located approximately at 90° positions on a circle circumscribing the appliance or appliance enclosure under test, in a horizontal plane approximately at the vertical midpoint of the appliance or test enclosure, and with the junctions approximately 24 in. from the sides of the appliance or test enclosure and located so as not to be affected by other than room air. The temperature of the air for combustion and the air for draft control shall not differ more than ±5°F from the room temperature as measured above. Where there is less than 5°F stratification, one room air thermocouple may be used.</t>
    </r>
  </si>
  <si>
    <r>
      <rPr>
        <b/>
        <sz val="11"/>
        <color theme="1"/>
        <rFont val="Palatino Linotype"/>
        <family val="1"/>
      </rPr>
      <t>ASHRAE 103-1993, Section 8.5.2: Limitations</t>
    </r>
    <r>
      <rPr>
        <sz val="11"/>
        <color theme="1"/>
        <rFont val="Palatino Linotype"/>
        <family val="2"/>
      </rPr>
      <t xml:space="preserve">
</t>
    </r>
    <r>
      <rPr>
        <i/>
        <sz val="11"/>
        <color theme="1"/>
        <rFont val="Palatino Linotype"/>
        <family val="1"/>
      </rPr>
      <t>During the time required to perform all the testing and measuring procedures specified in Section 9, maintain the room temperature within ±5°F of the air temperature value measured at the end of the steady-state performance test (T</t>
    </r>
    <r>
      <rPr>
        <i/>
        <vertAlign val="subscript"/>
        <sz val="11"/>
        <color theme="1"/>
        <rFont val="Palatino Linotype"/>
        <family val="1"/>
      </rPr>
      <t>RA</t>
    </r>
    <r>
      <rPr>
        <i/>
        <sz val="11"/>
        <color theme="1"/>
        <rFont val="Palatino Linotype"/>
        <family val="1"/>
      </rPr>
      <t>). During these tests, the room temperature may not fall below 65°F or exceed 100°F, except that for condensing furnaces and boilers, it shall not exceed 85°F.</t>
    </r>
  </si>
  <si>
    <r>
      <rPr>
        <b/>
        <sz val="11"/>
        <color rgb="FF000000"/>
        <rFont val="Palatino Linotype"/>
        <family val="1"/>
      </rPr>
      <t xml:space="preserve">ASHRAE 103-1993, Section 8.4.2.5: Electric Boilers </t>
    </r>
    <r>
      <rPr>
        <i/>
        <sz val="11"/>
        <color indexed="8"/>
        <rFont val="Palatino Linotype"/>
        <family val="1"/>
      </rPr>
      <t xml:space="preserve">
Adjust the flow of water or steam as specified in 8.4.2.3 for gas and oil-fueled boilers.</t>
    </r>
  </si>
  <si>
    <t>ASHRAE 103-1993, Section 9.1.2.3: Measurements</t>
  </si>
  <si>
    <r>
      <t>9.1.2.3.1 On units employing draft hoods or direct exhaust or direct vent systems, measure the room temperature (T</t>
    </r>
    <r>
      <rPr>
        <i/>
        <vertAlign val="subscript"/>
        <sz val="11"/>
        <color theme="1"/>
        <rFont val="Palatino Linotype"/>
        <family val="1"/>
      </rPr>
      <t>RA</t>
    </r>
    <r>
      <rPr>
        <i/>
        <sz val="11"/>
        <color theme="1"/>
        <rFont val="Palatino Linotype"/>
        <family val="1"/>
      </rPr>
      <t>) as described in 8.5 and measure the steady-state flue gas temperature (T</t>
    </r>
    <r>
      <rPr>
        <i/>
        <vertAlign val="subscript"/>
        <sz val="11"/>
        <color theme="1"/>
        <rFont val="Palatino Linotype"/>
        <family val="1"/>
      </rPr>
      <t>F,SS,X</t>
    </r>
    <r>
      <rPr>
        <i/>
        <sz val="11"/>
        <color theme="1"/>
        <rFont val="Palatino Linotype"/>
        <family val="1"/>
      </rPr>
      <t>) using the thermocouple grid located in the flue pipe. Secure a sample of the flue gas in the plane of temperature measurement. Determine the concentration by volume of CO</t>
    </r>
    <r>
      <rPr>
        <i/>
        <vertAlign val="subscript"/>
        <sz val="11"/>
        <color theme="1"/>
        <rFont val="Palatino Linotype"/>
        <family val="1"/>
      </rPr>
      <t>2</t>
    </r>
    <r>
      <rPr>
        <i/>
        <sz val="11"/>
        <color theme="1"/>
        <rFont val="Palatino Linotype"/>
        <family val="1"/>
      </rPr>
      <t xml:space="preserve"> (X</t>
    </r>
    <r>
      <rPr>
        <i/>
        <vertAlign val="subscript"/>
        <sz val="11"/>
        <color theme="1"/>
        <rFont val="Palatino Linotype"/>
        <family val="1"/>
      </rPr>
      <t>CO2F</t>
    </r>
    <r>
      <rPr>
        <i/>
        <sz val="11"/>
        <color theme="1"/>
        <rFont val="Palatino Linotype"/>
        <family val="1"/>
      </rPr>
      <t>) present in dry flue gas (see Figures 3c, 3d, and 4).
On units employing a draft hood, secure a sample of the stack gases at either a horizontal plane in the stack 12 in. downstream of the draft hood or in a horizontal plane 6 in. from the top of the test stack. Make sure that there are no holes or air leaks in the section of the stack from the draft hood up to the location where the stack gas is sampled. Determine the concentration by volume of carbon dioxide (X</t>
    </r>
    <r>
      <rPr>
        <i/>
        <vertAlign val="subscript"/>
        <sz val="11"/>
        <color theme="1"/>
        <rFont val="Palatino Linotype"/>
        <family val="1"/>
      </rPr>
      <t>CO2S</t>
    </r>
    <r>
      <rPr>
        <i/>
        <sz val="11"/>
        <color theme="1"/>
        <rFont val="Palatino Linotype"/>
        <family val="1"/>
      </rPr>
      <t>) present in the dry stack gas. Use Figures 3a and 3b (test stack for units with draft diverter) as reference for the location of CO</t>
    </r>
    <r>
      <rPr>
        <i/>
        <vertAlign val="subscript"/>
        <sz val="11"/>
        <color theme="1"/>
        <rFont val="Palatino Linotype"/>
        <family val="1"/>
      </rPr>
      <t>2</t>
    </r>
    <r>
      <rPr>
        <i/>
        <sz val="11"/>
        <color theme="1"/>
        <rFont val="Palatino Linotype"/>
        <family val="1"/>
      </rPr>
      <t xml:space="preserve"> measurement.</t>
    </r>
  </si>
  <si>
    <r>
      <t>9.1.2.3.2 On units employing draft diverters, measure the room temperature (T</t>
    </r>
    <r>
      <rPr>
        <i/>
        <vertAlign val="subscript"/>
        <sz val="11"/>
        <color theme="1"/>
        <rFont val="Palatino Linotype"/>
        <family val="1"/>
      </rPr>
      <t>RA</t>
    </r>
    <r>
      <rPr>
        <i/>
        <sz val="11"/>
        <color theme="1"/>
        <rFont val="Palatino Linotype"/>
        <family val="1"/>
      </rPr>
      <t>) as described in 8.5 and measure the steady-state stack gas temperature (T</t>
    </r>
    <r>
      <rPr>
        <i/>
        <vertAlign val="subscript"/>
        <sz val="11"/>
        <color theme="1"/>
        <rFont val="Palatino Linotype"/>
        <family val="1"/>
      </rPr>
      <t>S,SS,X</t>
    </r>
    <r>
      <rPr>
        <i/>
        <sz val="11"/>
        <color theme="1"/>
        <rFont val="Palatino Linotype"/>
        <family val="1"/>
      </rPr>
      <t>) using the thermocouple grid located in the 5-ft test stack as described in 8.2.1.5 or 8.3.1.5. Secure a sample of the stack gases either at the plane where T</t>
    </r>
    <r>
      <rPr>
        <i/>
        <vertAlign val="subscript"/>
        <sz val="11"/>
        <color theme="1"/>
        <rFont val="Palatino Linotype"/>
        <family val="1"/>
      </rPr>
      <t>S,SS,X</t>
    </r>
    <r>
      <rPr>
        <i/>
        <sz val="11"/>
        <color theme="1"/>
        <rFont val="Palatino Linotype"/>
        <family val="1"/>
      </rPr>
      <t xml:space="preserve"> is measured or in a horizontal plane 6 in. from the top of the test stack. (If the stack gas is sampled at this latter location, be sure that there are no holes or air leaks between this location and the plane where the T</t>
    </r>
    <r>
      <rPr>
        <i/>
        <vertAlign val="subscript"/>
        <sz val="11"/>
        <color theme="1"/>
        <rFont val="Palatino Linotype"/>
        <family val="1"/>
      </rPr>
      <t>S,SS,X</t>
    </r>
    <r>
      <rPr>
        <i/>
        <sz val="11"/>
        <color theme="1"/>
        <rFont val="Palatino Linotype"/>
        <family val="1"/>
      </rPr>
      <t xml:space="preserve"> is measured.) Determine the concentration by volume of carbon dioxide (X</t>
    </r>
    <r>
      <rPr>
        <i/>
        <vertAlign val="subscript"/>
        <sz val="11"/>
        <color theme="1"/>
        <rFont val="Palatino Linotype"/>
        <family val="1"/>
      </rPr>
      <t>CO2S</t>
    </r>
    <r>
      <rPr>
        <i/>
        <sz val="11"/>
        <color theme="1"/>
        <rFont val="Palatino Linotype"/>
        <family val="1"/>
      </rPr>
      <t>) present in dry stack gas (see Figures 3a and 3b).
After the above test measurements have been completed on units employing integral draft diverters, secure a sample of the flue gases at the inlet to the draft diverter and determine the concentration of flue CO</t>
    </r>
    <r>
      <rPr>
        <i/>
        <vertAlign val="subscript"/>
        <sz val="11"/>
        <color theme="1"/>
        <rFont val="Palatino Linotype"/>
        <family val="1"/>
      </rPr>
      <t>2</t>
    </r>
    <r>
      <rPr>
        <i/>
        <sz val="11"/>
        <color theme="1"/>
        <rFont val="Palatino Linotype"/>
        <family val="1"/>
      </rPr>
      <t xml:space="preserve"> (X</t>
    </r>
    <r>
      <rPr>
        <i/>
        <vertAlign val="subscript"/>
        <sz val="11"/>
        <color theme="1"/>
        <rFont val="Palatino Linotype"/>
        <family val="1"/>
      </rPr>
      <t>CO2F</t>
    </r>
    <r>
      <rPr>
        <i/>
        <sz val="11"/>
        <color theme="1"/>
        <rFont val="Palatino Linotype"/>
        <family val="1"/>
      </rPr>
      <t>) present (see Figures 3a and 3b). In obtaining this sample of flue gas, move the sampling probe around to ensure that an average value is obtained for the CO</t>
    </r>
    <r>
      <rPr>
        <i/>
        <vertAlign val="subscript"/>
        <sz val="11"/>
        <color theme="1"/>
        <rFont val="Palatino Linotype"/>
        <family val="1"/>
      </rPr>
      <t>2</t>
    </r>
    <r>
      <rPr>
        <i/>
        <sz val="11"/>
        <color theme="1"/>
        <rFont val="Palatino Linotype"/>
        <family val="1"/>
      </rPr>
      <t xml:space="preserve"> concentration. For units with multiple heat exchanger outlets, draw a sample of equal size from each outlet to obtain the average CO</t>
    </r>
    <r>
      <rPr>
        <i/>
        <vertAlign val="subscript"/>
        <sz val="11"/>
        <color theme="1"/>
        <rFont val="Palatino Linotype"/>
        <family val="1"/>
      </rPr>
      <t>2</t>
    </r>
    <r>
      <rPr>
        <i/>
        <sz val="11"/>
        <color theme="1"/>
        <rFont val="Palatino Linotype"/>
        <family val="1"/>
      </rPr>
      <t xml:space="preserve"> concentration for the unit.</t>
    </r>
  </si>
  <si>
    <r>
      <t>9.1.2.3.3 On units employing barometric draft regulators, measure the room air temperature (T</t>
    </r>
    <r>
      <rPr>
        <i/>
        <vertAlign val="subscript"/>
        <sz val="11"/>
        <color theme="1"/>
        <rFont val="Palatino Linotype"/>
        <family val="1"/>
      </rPr>
      <t>RA</t>
    </r>
    <r>
      <rPr>
        <i/>
        <sz val="11"/>
        <color theme="1"/>
        <rFont val="Palatino Linotype"/>
        <family val="1"/>
      </rPr>
      <t>). Measure the steady-state flue gas temperature (T</t>
    </r>
    <r>
      <rPr>
        <i/>
        <vertAlign val="subscript"/>
        <sz val="11"/>
        <color theme="1"/>
        <rFont val="Palatino Linotype"/>
        <family val="1"/>
      </rPr>
      <t>F,SS</t>
    </r>
    <r>
      <rPr>
        <i/>
        <sz val="11"/>
        <color theme="1"/>
        <rFont val="Palatino Linotype"/>
        <family val="1"/>
      </rPr>
      <t>) using the thermocouple grid located in the flue pipe. Secure a sample of the flue gas in the plane of temperature measurement and determine the concentration by volume of CO</t>
    </r>
    <r>
      <rPr>
        <i/>
        <vertAlign val="subscript"/>
        <sz val="11"/>
        <color theme="1"/>
        <rFont val="Palatino Linotype"/>
        <family val="1"/>
      </rPr>
      <t>2</t>
    </r>
    <r>
      <rPr>
        <i/>
        <sz val="11"/>
        <color theme="1"/>
        <rFont val="Palatino Linotype"/>
        <family val="1"/>
      </rPr>
      <t xml:space="preserve"> (X</t>
    </r>
    <r>
      <rPr>
        <i/>
        <vertAlign val="subscript"/>
        <sz val="11"/>
        <color theme="1"/>
        <rFont val="Palatino Linotype"/>
        <family val="1"/>
      </rPr>
      <t>CO2F</t>
    </r>
    <r>
      <rPr>
        <i/>
        <sz val="11"/>
        <color theme="1"/>
        <rFont val="Palatino Linotype"/>
        <family val="1"/>
      </rPr>
      <t>) present in dry flue gas (see Figure 5).</t>
    </r>
  </si>
  <si>
    <t>ASHRAE 103-1993, Section 9.1.2: Steady-State Conditions and Requirements</t>
  </si>
  <si>
    <r>
      <rPr>
        <b/>
        <sz val="11"/>
        <color theme="1"/>
        <rFont val="Palatino Linotype"/>
        <family val="1"/>
      </rPr>
      <t xml:space="preserve">ASHRAE 103-1993, Section 9.1.2.1: Conditions </t>
    </r>
    <r>
      <rPr>
        <i/>
        <sz val="11"/>
        <color theme="1"/>
        <rFont val="Palatino Linotype"/>
        <family val="1"/>
      </rPr>
      <t xml:space="preserve">
Begin the steady-state performance test by operating the burner and the circulating air blower or water pump until steady-state conditions are attained as indicated by a temperature variation in three successive readings, taken 15 minutes apart, of not more than
(1) 3°F in the stack gas temperature for furnaces and boilers equipped with draft diverters;
(2) 5°F in the flue gas temperature for furnaces and boilers equipped with either draft hoods, direct exhaust, or direct vent systems;
(3) 4 °F in the outlet water temperature for hot water boilers;
(4) 1°F in the flue gas temperature for condensing furnaces and boilers; and
(5) 1°F in the flue gas and supply (outlet) water temperatures for condensing hot water boilers.</t>
    </r>
  </si>
  <si>
    <t>ASHRAE 103-1993, Section: 9.1.2.2 Input (Replaced by Appendix N Sections 8.1-8.3, which are addressed above)</t>
  </si>
  <si>
    <t xml:space="preserve">Variation </t>
  </si>
  <si>
    <t>Tolerances</t>
  </si>
  <si>
    <r>
      <t>Flue CO</t>
    </r>
    <r>
      <rPr>
        <b/>
        <vertAlign val="subscript"/>
        <sz val="11"/>
        <color rgb="FF000000"/>
        <rFont val="Palatino Linotype"/>
        <family val="1"/>
      </rPr>
      <t>2</t>
    </r>
    <r>
      <rPr>
        <b/>
        <sz val="11"/>
        <color indexed="8"/>
        <rFont val="Palatino Linotype"/>
        <family val="1"/>
      </rPr>
      <t xml:space="preserve"> Concentration (%)</t>
    </r>
  </si>
  <si>
    <r>
      <t>Stack CO</t>
    </r>
    <r>
      <rPr>
        <b/>
        <vertAlign val="subscript"/>
        <sz val="11"/>
        <color rgb="FF000000"/>
        <rFont val="Palatino Linotype"/>
        <family val="1"/>
      </rPr>
      <t>2</t>
    </r>
    <r>
      <rPr>
        <b/>
        <sz val="11"/>
        <color indexed="8"/>
        <rFont val="Palatino Linotype"/>
        <family val="1"/>
      </rPr>
      <t xml:space="preserve"> Concentration (%)</t>
    </r>
  </si>
  <si>
    <t>For units with modulating controls, the following applies: (a) for step modulating units, the test is conducted at reduced input rate only; (b) for two-stage units, the test is conducted at both maximum and reduced input rates.</t>
  </si>
  <si>
    <r>
      <t xml:space="preserve">9.8.1 Preparation for Test 
</t>
    </r>
    <r>
      <rPr>
        <i/>
        <sz val="11"/>
        <rFont val="Palatino Linotype"/>
        <family val="1"/>
      </rPr>
      <t>Control devices shall be installed to allow cyclical operation of the unit and return water or airflows as described in 9.2. The test unit shall be leveled prior to the test. Humidity of the room air shall at no time exceed 80%.</t>
    </r>
  </si>
  <si>
    <r>
      <t xml:space="preserve">9.8.2 Condensate Collection Containers 
</t>
    </r>
    <r>
      <rPr>
        <i/>
        <sz val="11"/>
        <rFont val="Palatino Linotype"/>
        <family val="1"/>
      </rPr>
      <t>The condensing furnace or boiler shall be tested by the flue loss method in accordance with the provisions for condensing units, as specified in Section 8. The condensate collection containers shall be dried prior to each use and shall be at room ambient temperature prior to a sample collection. Tare weight of the collection container must be measured and recorded prior to each sample collection.</t>
    </r>
  </si>
  <si>
    <r>
      <t xml:space="preserve">9.8.3 Test Requirements 
</t>
    </r>
    <r>
      <rPr>
        <i/>
        <sz val="11"/>
        <rFont val="Palatino Linotype"/>
        <family val="1"/>
      </rPr>
      <t>The unit shall be operated in a cyclical manner until flue gas temperatures at the end of each on-cycle are within 5°F of each other for two consecutive cycles. On-cycle and off-cycle times are listed in Table 9. Control of ON or OFF operation actions shall be within ±6 seconds of the scheduled time. Begin three test cycles. Return air temperature for furnaces shall be as specified in 8.5.2. Return water temperature for boilers shall be as specified in 8.4.2.3. Operation of the furnace blower shall conform to the time delay requirements specified in 9.5.1 for cool-down and heat-up tests. Operation of the boiler pump shall conform to the time delay requirements specified in 9.6.1.</t>
    </r>
  </si>
  <si>
    <r>
      <t xml:space="preserve">9.8.4 Condensate Collection 
</t>
    </r>
    <r>
      <rPr>
        <i/>
        <sz val="11"/>
        <rFont val="Palatino Linotype"/>
        <family val="1"/>
      </rPr>
      <t>Begin condensate collection at one minute before the on-cycle period of the first test cycle. The container shall be removed one minute before the end of each off-cycle period. Condensate mass shall be measured for each test cycle.</t>
    </r>
  </si>
  <si>
    <r>
      <t xml:space="preserve">9.8.5 Measurements 
</t>
    </r>
    <r>
      <rPr>
        <i/>
        <sz val="11"/>
        <rFont val="Palatino Linotype"/>
        <family val="1"/>
      </rPr>
      <t>Fuel input shall be recorded during the entire test period starting at the beginning of the on-time period of the first cycle to the beginning of the ontime period of the second cycle, etc., for each of the test cycles. Fuel higher heating value (HHV), temperature, and pressures necessary for determining fuel energy input (Q</t>
    </r>
    <r>
      <rPr>
        <i/>
        <vertAlign val="subscript"/>
        <sz val="11"/>
        <rFont val="Palatino Linotype"/>
        <family val="1"/>
      </rPr>
      <t>C</t>
    </r>
    <r>
      <rPr>
        <i/>
        <sz val="11"/>
        <rFont val="Palatino Linotype"/>
        <family val="1"/>
      </rPr>
      <t>) shall be recorded. Determine the mass of condensate for each cycle (M</t>
    </r>
    <r>
      <rPr>
        <i/>
        <vertAlign val="subscript"/>
        <sz val="11"/>
        <rFont val="Palatino Linotype"/>
        <family val="1"/>
      </rPr>
      <t>C</t>
    </r>
    <r>
      <rPr>
        <i/>
        <sz val="11"/>
        <rFont val="Palatino Linotype"/>
        <family val="1"/>
      </rPr>
      <t>) in pounds. If at the end of three cycles, the sample standard deviation is within 20% of the mean value for three cycles, use total condensate collected in the three cycles as M</t>
    </r>
    <r>
      <rPr>
        <i/>
        <vertAlign val="subscript"/>
        <sz val="11"/>
        <rFont val="Palatino Linotype"/>
        <family val="1"/>
      </rPr>
      <t>C</t>
    </r>
    <r>
      <rPr>
        <i/>
        <sz val="11"/>
        <rFont val="Palatino Linotype"/>
        <family val="1"/>
      </rPr>
      <t>, if not, continue collection for an additional three cycles and use the total condensate collected for the six cycles as M</t>
    </r>
    <r>
      <rPr>
        <i/>
        <vertAlign val="subscript"/>
        <sz val="11"/>
        <rFont val="Palatino Linotype"/>
        <family val="1"/>
      </rPr>
      <t>C</t>
    </r>
    <r>
      <rPr>
        <i/>
        <sz val="11"/>
        <rFont val="Palatino Linotype"/>
        <family val="1"/>
      </rPr>
      <t>. Determine the fuel energy input during the three or six test cycles (Q</t>
    </r>
    <r>
      <rPr>
        <i/>
        <vertAlign val="subscript"/>
        <sz val="11"/>
        <rFont val="Palatino Linotype"/>
        <family val="1"/>
      </rPr>
      <t>C</t>
    </r>
    <r>
      <rPr>
        <i/>
        <sz val="11"/>
        <rFont val="Palatino Linotype"/>
        <family val="1"/>
      </rPr>
      <t>) expressed in Btu.</t>
    </r>
  </si>
  <si>
    <r>
      <t>For furnaces and boilers that are marketed and sold with attached barometric draft regulators, the S/F factor shall be determined either by using assigned factors in Table 6 or by the following test procedure. 
To directly measure the S/F factor, seal the barometric damper plate in the closed position. Operate the furnace or boiler until steady-state temperatures are attained. Adjust the draft in the flue within one foot of the heat exchanger exit to be between 0.075 and 0.085 in. water. A mechanical draft inducer or a natural draft developed by adjusting the height of the test stack may he used. Remove the seal from the barometric draft regulator and adjust the damper gate to achieve proper draft, as specified by the manufacturer. If the draft over the fire is specified as a range, adjust the draft to the mid-point of that range.
After steady-state conditions are again achieved with the draft adjusted as specified, measure CO</t>
    </r>
    <r>
      <rPr>
        <i/>
        <vertAlign val="subscript"/>
        <sz val="11"/>
        <color rgb="FF000000"/>
        <rFont val="Palatino Linotype"/>
        <family val="1"/>
      </rPr>
      <t>2</t>
    </r>
    <r>
      <rPr>
        <i/>
        <sz val="11"/>
        <color indexed="8"/>
        <rFont val="Palatino Linotype"/>
        <family val="1"/>
      </rPr>
      <t xml:space="preserve"> before and after dilution at points marked A and B in Figure 22. To ensure that the sample is well mixed after dilution, obtain a representative sample of stack gas by sampling from several points on a horizontal plane through the cross section of the stack. The test setup shown in Figure 22 enhances the mixing of dilution air and flue gases. Alternatively, a straight length of stack or other flue piping arrangement may be used with stack samples taken sufficiently downstream after dilution in order to obtain a well mixed sample.</t>
    </r>
  </si>
  <si>
    <r>
      <rPr>
        <b/>
        <sz val="11"/>
        <rFont val="Palatino Linotype"/>
        <family val="1"/>
      </rPr>
      <t>Appendix N, Section 8.7: Cool-down test for Gas- and Oil-Fueled Boilers Without Stack Dampers</t>
    </r>
    <r>
      <rPr>
        <i/>
        <sz val="11"/>
        <rFont val="Palatino Linotype"/>
        <family val="1"/>
      </rPr>
      <t xml:space="preserve">
After steady-state testing has been completed, turn the main burner(s) “OFF” and measure the flue gas temperature at 3.75 minutes (temperature designated as T</t>
    </r>
    <r>
      <rPr>
        <i/>
        <vertAlign val="subscript"/>
        <sz val="11"/>
        <rFont val="Palatino Linotype"/>
        <family val="1"/>
      </rPr>
      <t>F,OFF</t>
    </r>
    <r>
      <rPr>
        <i/>
        <sz val="11"/>
        <rFont val="Palatino Linotype"/>
        <family val="1"/>
      </rPr>
      <t>(t</t>
    </r>
    <r>
      <rPr>
        <i/>
        <vertAlign val="subscript"/>
        <sz val="11"/>
        <rFont val="Palatino Linotype"/>
        <family val="1"/>
      </rPr>
      <t>3</t>
    </r>
    <r>
      <rPr>
        <i/>
        <sz val="11"/>
        <rFont val="Palatino Linotype"/>
        <family val="1"/>
      </rPr>
      <t>)) and 22.5 minutes (temperature designated as T</t>
    </r>
    <r>
      <rPr>
        <i/>
        <vertAlign val="subscript"/>
        <sz val="11"/>
        <rFont val="Palatino Linotype"/>
        <family val="1"/>
      </rPr>
      <t>F,OFF</t>
    </r>
    <r>
      <rPr>
        <i/>
        <sz val="11"/>
        <rFont val="Palatino Linotype"/>
        <family val="1"/>
      </rPr>
      <t>(t</t>
    </r>
    <r>
      <rPr>
        <i/>
        <vertAlign val="subscript"/>
        <sz val="11"/>
        <rFont val="Palatino Linotype"/>
        <family val="1"/>
      </rPr>
      <t>4</t>
    </r>
    <r>
      <rPr>
        <i/>
        <sz val="11"/>
        <rFont val="Palatino Linotype"/>
        <family val="1"/>
      </rPr>
      <t>)) after the burner shut-off using the thermocouple grid described in section 7.6 of ASHRAE 103-1993.
a. During this off-period, for units that do not have pump delay after shut-off, do not allow any water to circulate through the hot water boilers.
b. For units that have pump delay on shut-off, except those having pump controls sensing water temperature, the unit control must stop the pump. Measure and record the time between burner shut-off and pump shut-off (t</t>
    </r>
    <r>
      <rPr>
        <i/>
        <vertAlign val="superscript"/>
        <sz val="11"/>
        <rFont val="Palatino Linotype"/>
        <family val="1"/>
      </rPr>
      <t>+</t>
    </r>
    <r>
      <rPr>
        <i/>
        <sz val="11"/>
        <rFont val="Palatino Linotype"/>
        <family val="1"/>
      </rPr>
      <t>) to the nearest second.
c. For units having pump delay controls that sense water temperature, operate the pump for 15 minutes and record t</t>
    </r>
    <r>
      <rPr>
        <i/>
        <vertAlign val="superscript"/>
        <sz val="11"/>
        <rFont val="Palatino Linotype"/>
        <family val="1"/>
      </rPr>
      <t>+</t>
    </r>
    <r>
      <rPr>
        <i/>
        <sz val="11"/>
        <rFont val="Palatino Linotype"/>
        <family val="1"/>
      </rPr>
      <t xml:space="preserve"> as 15 minutes. While the pump is operating, maintain the inlet water temperature and flow rate at the same values as used during the steady-state test, as specified in sections 9.1 and 8.4.2.3 of ASHRAE 103-1993.
d. For boilers that employ post-purge, measure the length of the post-purge period with a stopwatch. Record the time from burner “OFF” to combustion blower “OFF” (electrically de-energized) as t</t>
    </r>
    <r>
      <rPr>
        <i/>
        <vertAlign val="subscript"/>
        <sz val="11"/>
        <rFont val="Palatino Linotype"/>
        <family val="1"/>
      </rPr>
      <t>P</t>
    </r>
    <r>
      <rPr>
        <i/>
        <sz val="11"/>
        <rFont val="Palatino Linotype"/>
        <family val="1"/>
      </rPr>
      <t>. If t</t>
    </r>
    <r>
      <rPr>
        <i/>
        <vertAlign val="subscript"/>
        <sz val="11"/>
        <rFont val="Palatino Linotype"/>
        <family val="1"/>
      </rPr>
      <t>P</t>
    </r>
    <r>
      <rPr>
        <i/>
        <sz val="11"/>
        <rFont val="Palatino Linotype"/>
        <family val="1"/>
      </rPr>
      <t xml:space="preserve"> is prescribed by the I&amp;O manual or measured to be greater than 180 seconds, stop the combustion blower at 180 seconds and use that value for t</t>
    </r>
    <r>
      <rPr>
        <i/>
        <vertAlign val="subscript"/>
        <sz val="11"/>
        <rFont val="Palatino Linotype"/>
        <family val="1"/>
      </rPr>
      <t>P</t>
    </r>
    <r>
      <rPr>
        <i/>
        <sz val="11"/>
        <rFont val="Palatino Linotype"/>
        <family val="1"/>
      </rPr>
      <t>. Measure the flue gas temperature by means of the thermocouple grid described in section 7.6 of ASHRAE 103-1993 at the end of the post-purge period t</t>
    </r>
    <r>
      <rPr>
        <i/>
        <vertAlign val="subscript"/>
        <sz val="11"/>
        <rFont val="Palatino Linotype"/>
        <family val="1"/>
      </rPr>
      <t>P</t>
    </r>
    <r>
      <rPr>
        <i/>
        <sz val="11"/>
        <rFont val="Palatino Linotype"/>
        <family val="1"/>
      </rPr>
      <t xml:space="preserve"> (T</t>
    </r>
    <r>
      <rPr>
        <i/>
        <vertAlign val="subscript"/>
        <sz val="11"/>
        <rFont val="Palatino Linotype"/>
        <family val="1"/>
      </rPr>
      <t>F,OFF</t>
    </r>
    <r>
      <rPr>
        <i/>
        <sz val="11"/>
        <rFont val="Palatino Linotype"/>
        <family val="1"/>
      </rPr>
      <t>(t</t>
    </r>
    <r>
      <rPr>
        <i/>
        <vertAlign val="subscript"/>
        <sz val="11"/>
        <rFont val="Palatino Linotype"/>
        <family val="1"/>
      </rPr>
      <t>P</t>
    </r>
    <r>
      <rPr>
        <i/>
        <sz val="11"/>
        <rFont val="Palatino Linotype"/>
        <family val="1"/>
      </rPr>
      <t>)) and at (3.75 + t</t>
    </r>
    <r>
      <rPr>
        <i/>
        <vertAlign val="subscript"/>
        <sz val="11"/>
        <rFont val="Palatino Linotype"/>
        <family val="1"/>
      </rPr>
      <t>P</t>
    </r>
    <r>
      <rPr>
        <i/>
        <sz val="11"/>
        <rFont val="Palatino Linotype"/>
        <family val="1"/>
      </rPr>
      <t>) minutes (T</t>
    </r>
    <r>
      <rPr>
        <i/>
        <vertAlign val="subscript"/>
        <sz val="11"/>
        <rFont val="Palatino Linotype"/>
        <family val="1"/>
      </rPr>
      <t>F,OFF</t>
    </r>
    <r>
      <rPr>
        <i/>
        <sz val="11"/>
        <rFont val="Palatino Linotype"/>
        <family val="1"/>
      </rPr>
      <t>(t</t>
    </r>
    <r>
      <rPr>
        <i/>
        <vertAlign val="subscript"/>
        <sz val="11"/>
        <rFont val="Palatino Linotype"/>
        <family val="1"/>
      </rPr>
      <t>3</t>
    </r>
    <r>
      <rPr>
        <i/>
        <sz val="11"/>
        <rFont val="Palatino Linotype"/>
        <family val="1"/>
      </rPr>
      <t>)) and (22.5 + t</t>
    </r>
    <r>
      <rPr>
        <i/>
        <vertAlign val="subscript"/>
        <sz val="11"/>
        <rFont val="Palatino Linotype"/>
        <family val="1"/>
      </rPr>
      <t>P</t>
    </r>
    <r>
      <rPr>
        <i/>
        <sz val="11"/>
        <rFont val="Palatino Linotype"/>
        <family val="1"/>
      </rPr>
      <t>) minutes (T</t>
    </r>
    <r>
      <rPr>
        <i/>
        <vertAlign val="subscript"/>
        <sz val="11"/>
        <rFont val="Palatino Linotype"/>
        <family val="1"/>
      </rPr>
      <t>F,OFF</t>
    </r>
    <r>
      <rPr>
        <i/>
        <sz val="11"/>
        <rFont val="Palatino Linotype"/>
        <family val="1"/>
      </rPr>
      <t>(t</t>
    </r>
    <r>
      <rPr>
        <i/>
        <vertAlign val="subscript"/>
        <sz val="11"/>
        <rFont val="Palatino Linotype"/>
        <family val="1"/>
      </rPr>
      <t>4</t>
    </r>
    <r>
      <rPr>
        <i/>
        <sz val="11"/>
        <rFont val="Palatino Linotype"/>
        <family val="1"/>
      </rPr>
      <t>)) after the main burner shuts off. If the measured t</t>
    </r>
    <r>
      <rPr>
        <i/>
        <vertAlign val="subscript"/>
        <sz val="11"/>
        <rFont val="Palatino Linotype"/>
        <family val="1"/>
      </rPr>
      <t>P</t>
    </r>
    <r>
      <rPr>
        <i/>
        <sz val="11"/>
        <rFont val="Palatino Linotype"/>
        <family val="1"/>
      </rPr>
      <t xml:space="preserve"> is less than or equal to 30 seconds, record t</t>
    </r>
    <r>
      <rPr>
        <i/>
        <vertAlign val="subscript"/>
        <sz val="11"/>
        <rFont val="Palatino Linotype"/>
        <family val="1"/>
      </rPr>
      <t>P</t>
    </r>
    <r>
      <rPr>
        <i/>
        <sz val="11"/>
        <rFont val="Palatino Linotype"/>
        <family val="1"/>
      </rPr>
      <t xml:space="preserve"> as 0 and conduct the cool-down test as if there is no post-purge.</t>
    </r>
  </si>
  <si>
    <t>Appendix N, Section 8.11: Measurement of electrical standby and off mode power.</t>
  </si>
  <si>
    <r>
      <t xml:space="preserve">Appendix N, Section 8.11.1: Standby Power Measurement
</t>
    </r>
    <r>
      <rPr>
        <i/>
        <sz val="11"/>
        <rFont val="Palatino Linotype"/>
        <family val="1"/>
      </rPr>
      <t>With all electrical auxiliaries of the furnace or boiler not activated, measure the standby power (PW,SB) in accordance with the procedures in IEC 62301, except that section 8.5, Room Ambient Temperature, of ASHRAE 103-1993 and the voltage provision of section 8.2.1.4, Electrical Supply, of ASHRAE 103-1993 shall apply in lieu of the corresponding provisions of IEC 62301 at section 4.2, Test room, and the voltage specification of section 4.3, Power supply. Frequency shall be 60Hz. Clarifying further, IEC 62301 section 4.4, Power measurement instruments, and section 5, Measurements, apply in lieu of ASHRAE 103-1993 section 6.10, Energy Flow Rate. Measure the wattage so that all possible standby mode wattage for the entire appliance is recorded, not just the standby mode wattage of a single auxiliary. Round the recorded standby power (P</t>
    </r>
    <r>
      <rPr>
        <i/>
        <vertAlign val="subscript"/>
        <sz val="11"/>
        <rFont val="Palatino Linotype"/>
        <family val="1"/>
      </rPr>
      <t>W,SB</t>
    </r>
    <r>
      <rPr>
        <i/>
        <sz val="11"/>
        <rFont val="Palatino Linotype"/>
        <family val="1"/>
      </rPr>
      <t>) to the second decimal place, except for loads greater than or equal to 10W, which must be recorded to at least three significant figures.</t>
    </r>
  </si>
  <si>
    <r>
      <t xml:space="preserve">Appendix N, Section 8.11.2: Off mode power measurement. 
</t>
    </r>
    <r>
      <rPr>
        <i/>
        <sz val="11"/>
        <rFont val="Palatino Linotype"/>
        <family val="1"/>
      </rPr>
      <t>If the unit is equipped with an off switch or there is an expected difference between off mode power and standby mode power, measure off mode power (P</t>
    </r>
    <r>
      <rPr>
        <i/>
        <vertAlign val="subscript"/>
        <sz val="11"/>
        <rFont val="Palatino Linotype"/>
        <family val="1"/>
      </rPr>
      <t>W,OFF</t>
    </r>
    <r>
      <rPr>
        <i/>
        <sz val="11"/>
        <rFont val="Palatino Linotype"/>
        <family val="1"/>
      </rPr>
      <t>) in accordance with the standby power procedures in IEC 62301, except that section 8.5, Room Ambient Temperature, of ASHRAE 103-1993 and the voltage provision of section 8.2.1.4, Electrical Supply, of ASHRAE 103-1993 shall apply in lieu of the corresponding provisions of IEC 62301 at section 4.2, Test room, and the voltage specification of section 4.3, Power supply. Frequency shall be 60Hz. Clarifying further, IEC 62301 section 4.4, Power measurement instruments, and section 5, Measurements, apply for this measurement in lieu of ASHRAE 103-1993 section 6.10, Energy Flow Rate. Measure the wattage so that all possible off mode wattage for the entire appliance is recorded, not just the off mode wattage of a single auxiliary. If there is no expected difference in off mode power and standby mode power, let P</t>
    </r>
    <r>
      <rPr>
        <i/>
        <vertAlign val="subscript"/>
        <sz val="11"/>
        <rFont val="Palatino Linotype"/>
        <family val="1"/>
      </rPr>
      <t>W,OFF</t>
    </r>
    <r>
      <rPr>
        <i/>
        <sz val="11"/>
        <rFont val="Palatino Linotype"/>
        <family val="1"/>
      </rPr>
      <t xml:space="preserve"> = P</t>
    </r>
    <r>
      <rPr>
        <i/>
        <vertAlign val="subscript"/>
        <sz val="11"/>
        <rFont val="Palatino Linotype"/>
        <family val="1"/>
      </rPr>
      <t>W,SB</t>
    </r>
    <r>
      <rPr>
        <i/>
        <sz val="11"/>
        <rFont val="Palatino Linotype"/>
        <family val="1"/>
      </rPr>
      <t>, in which case no separate measurement of off mode power is necessary. Round the recorded off mode power (P</t>
    </r>
    <r>
      <rPr>
        <i/>
        <vertAlign val="subscript"/>
        <sz val="11"/>
        <rFont val="Palatino Linotype"/>
        <family val="1"/>
      </rPr>
      <t>W,OFF</t>
    </r>
    <r>
      <rPr>
        <i/>
        <sz val="11"/>
        <rFont val="Palatino Linotype"/>
        <family val="1"/>
      </rPr>
      <t>) to the second decimal place, except for loads greater than or equal to 10W, in which case round the recorded value to at least three significant figures.</t>
    </r>
  </si>
  <si>
    <r>
      <rPr>
        <b/>
        <sz val="11"/>
        <color rgb="FF000000"/>
        <rFont val="Palatino Linotype"/>
        <family val="1"/>
      </rPr>
      <t xml:space="preserve">Appendix N, Section 7.1: Fuel supply, gas. </t>
    </r>
    <r>
      <rPr>
        <i/>
        <sz val="11"/>
        <color indexed="8"/>
        <rFont val="Palatino Linotype"/>
        <family val="1"/>
      </rPr>
      <t xml:space="preserve">
In conducting the tests specified herein, gases with characteristics as shown in Table 1 of ASHRAE 103-1993 shall be used. Maintain the gas supply, ahead of all controls for a furnace, at a test pressure between the normal and increased values shown in Table 1 of ASHRAE 103-1993. Maintain the regulator outlet pressure at a level approximating that recommended in the I&amp;O manual, as defined in section 2.6 of this appendix, or, in the absence of such recommendation, to the nominal regulator settings used when the product is shipped by the manufacturer. Use a gas having a specific gravity as shown in Table 1 of ASHRAE 103-1993 and with a higher heating value within ±5% of the higher heating value shown in Table 1 of ASHRAE 103-1993. Determine the actual higher heating value in Btu per standard cubic foot for the gas to be used in the test within an error no greater than 1%.</t>
    </r>
  </si>
  <si>
    <r>
      <t>Btu/ft</t>
    </r>
    <r>
      <rPr>
        <vertAlign val="superscript"/>
        <sz val="11"/>
        <color rgb="FF000000"/>
        <rFont val="Palatino Linotype"/>
        <family val="1"/>
      </rPr>
      <t>3</t>
    </r>
  </si>
  <si>
    <t>Higher Heating Value (HHV)</t>
  </si>
  <si>
    <t>Specific Gravity</t>
  </si>
  <si>
    <t>Test Pressure Range - Max Test</t>
  </si>
  <si>
    <t>in. WC</t>
  </si>
  <si>
    <r>
      <rPr>
        <b/>
        <sz val="11"/>
        <color rgb="FF000000"/>
        <rFont val="Palatino Linotype"/>
        <family val="1"/>
      </rPr>
      <t>Appendix N, Section 7.3: Gas Burner</t>
    </r>
    <r>
      <rPr>
        <i/>
        <sz val="11"/>
        <color indexed="8"/>
        <rFont val="Palatino Linotype"/>
        <family val="1"/>
      </rPr>
      <t xml:space="preserve">
Adjust the burners of gas-fired furnaces and boilers to their maximum Btu input ratings at the normal test pressure specified by section 7.1 of this appendix. Correct the burner input rate to reflect gas characteristics at a temperature of 60°F and atmospheric pressure of 30 in of Hg and adjust down to within ±2 percent of the hourly Btu nameplate input rating specified by the manufacturer as measured during the steady-state performance test in section 8 of this appendix. Set the primary air shutters in accordance with the I&amp;O manual to give a good flame at this condition. If, however, the setting results in the deposit of carbon on the burners during any test specified herein, the tester shall adjust the shutters and burners until no more carbon is deposited and shall perform the tests again with the new settings (see Figure 9 of ASHRAE 103-1993). After the steady-state performance test has been started, do not make additional adjustments to the burners during the required series of performance tests specified in section 9 of ASHRAE 103-1993. If a vent-limiting means is provided on a gas pressure regulator, keep it in place during all tests.</t>
    </r>
  </si>
  <si>
    <r>
      <rPr>
        <b/>
        <sz val="11"/>
        <color rgb="FF000000"/>
        <rFont val="Palatino Linotype"/>
        <family val="1"/>
      </rPr>
      <t>Appendix N, Section 7.4: Modulating Gas Burner Adjustment at Reduced Input Rate</t>
    </r>
    <r>
      <rPr>
        <i/>
        <sz val="11"/>
        <color indexed="8"/>
        <rFont val="Palatino Linotype"/>
        <family val="1"/>
      </rPr>
      <t xml:space="preserve">
For gas-fired furnaces and boilers equipped with modulating-type controls, adjust the controls to operate the unit at the nameplate minimum input rate. If the modulating control is of a non-automatic type, adjust the control to the setting recommended in the I&amp;O manual. In the absence of such recommendation, the midpoint setting of the non-automatic control shall be used as the setting for determining the reduced fuel input rate. Start the furnace or boiler by turning the safety control valve to the “ON” position. For boilers, use a supply water temperature that will allow for continuous operation without shutoff by the control. If necessary to achieve such continuous operation, supply water may be increased above 120°F; in such cases, gradually increase the supply water temperature to determine what minimum supply water temperature, with a 20°F temperature rise across the boiler, will be needed to adjust for the minimum input rate at the reduced input rate control setting. Monitor regulated gas pressure out of the modulating control valve (or entering the burner) to determine when no further reduction of gas pressure results. The flow rate of water through the boiler shall be adjusted to achieve a 20°F temperature rise.</t>
    </r>
  </si>
  <si>
    <r>
      <rPr>
        <b/>
        <sz val="11"/>
        <color rgb="FF000000"/>
        <rFont val="Palatino Linotype"/>
        <family val="1"/>
      </rPr>
      <t>Appendix N, Section 7.5: Oil Burner</t>
    </r>
    <r>
      <rPr>
        <i/>
        <sz val="11"/>
        <color indexed="8"/>
        <rFont val="Palatino Linotype"/>
        <family val="1"/>
      </rPr>
      <t xml:space="preserve">
Adjust the burners of oil-fired furnaces or boilers to give a CO</t>
    </r>
    <r>
      <rPr>
        <i/>
        <vertAlign val="subscript"/>
        <sz val="11"/>
        <color rgb="FF000000"/>
        <rFont val="Palatino Linotype"/>
        <family val="1"/>
      </rPr>
      <t>2</t>
    </r>
    <r>
      <rPr>
        <i/>
        <sz val="11"/>
        <color indexed="8"/>
        <rFont val="Palatino Linotype"/>
        <family val="1"/>
      </rPr>
      <t xml:space="preserve"> reading specified in the I&amp;O manual and an hourly Btu input during the steady-state performance test described in section 8 of this appendix. Ensure the hourly BTU input is within ±2% of the normal hourly Btu input rating as specified in the I&amp;O manual. Smoke in the flue may not exceed a No. 1 smoke during the steady-state performance test as measured by the procedure in ASTM D2156R13. Maintain the average draft over the fire and in the flue during the steady-state performance test at the value specified in the I&amp;O manual. Do not allow draft fluctuations exceeding 0.005 in. water. Do not make additional adjustments to the burner during the required series of performance tests. The instruments and measuring apparatus for this test are described in section 6 of this appendix and shown in Figure 8 of ASHRAE 103-1993.</t>
    </r>
  </si>
  <si>
    <r>
      <t xml:space="preserve">Appendix N, Section 7.10.1: Optional Test Method for Indicating the Absence of Flow Through the Heat Exchanger
</t>
    </r>
    <r>
      <rPr>
        <i/>
        <sz val="11"/>
        <rFont val="Palatino Linotype"/>
        <family val="1"/>
      </rPr>
      <t>Manufacturers may use the following test protocol to determine whether air flows through the combustion chamber and heat exchanger when the burner(s) is (are) off. The minimum default draft factor (as allowed per sections 8.8.3 and 9.10 of ASHRAE 103-1993) may be used only for units determined pursuant to this protocol to have no airflow through the combustion chamber and heat exchanger.</t>
    </r>
  </si>
  <si>
    <r>
      <t>Appendix N, Section 7.10: Additional Optional Method of Testing for Determining D</t>
    </r>
    <r>
      <rPr>
        <b/>
        <vertAlign val="subscript"/>
        <sz val="11"/>
        <rFont val="Palatino Linotype"/>
        <family val="1"/>
      </rPr>
      <t>P</t>
    </r>
    <r>
      <rPr>
        <b/>
        <sz val="11"/>
        <rFont val="Palatino Linotype"/>
        <family val="1"/>
      </rPr>
      <t xml:space="preserve"> and D</t>
    </r>
    <r>
      <rPr>
        <b/>
        <vertAlign val="subscript"/>
        <sz val="11"/>
        <rFont val="Palatino Linotype"/>
        <family val="1"/>
      </rPr>
      <t>F</t>
    </r>
    <r>
      <rPr>
        <b/>
        <sz val="11"/>
        <rFont val="Palatino Linotype"/>
        <family val="1"/>
      </rPr>
      <t xml:space="preserve"> for Furnaces and Boilers
</t>
    </r>
    <r>
      <rPr>
        <i/>
        <sz val="11"/>
        <rFont val="Palatino Linotype"/>
        <family val="1"/>
      </rPr>
      <t>On units whose design is such that there is no measurable airflow through the combustion chamber and heat exchanger when the burner(s) is (are) off as determined by the optional test procedure in section 7.10.1 of this appendix, D</t>
    </r>
    <r>
      <rPr>
        <i/>
        <vertAlign val="subscript"/>
        <sz val="11"/>
        <rFont val="Palatino Linotype"/>
        <family val="1"/>
      </rPr>
      <t>F</t>
    </r>
    <r>
      <rPr>
        <i/>
        <sz val="11"/>
        <rFont val="Palatino Linotype"/>
        <family val="1"/>
      </rPr>
      <t xml:space="preserve"> and D</t>
    </r>
    <r>
      <rPr>
        <i/>
        <vertAlign val="subscript"/>
        <sz val="11"/>
        <rFont val="Palatino Linotype"/>
        <family val="1"/>
      </rPr>
      <t>P</t>
    </r>
    <r>
      <rPr>
        <i/>
        <sz val="11"/>
        <rFont val="Palatino Linotype"/>
        <family val="1"/>
      </rPr>
      <t xml:space="preserve"> may be set equal to 0.05.</t>
    </r>
  </si>
  <si>
    <r>
      <t xml:space="preserve">Appendix N, Section 7.10.1.1: Test Apparatus
</t>
    </r>
    <r>
      <rPr>
        <i/>
        <sz val="11"/>
        <rFont val="Palatino Linotype"/>
        <family val="1"/>
      </rPr>
      <t>Use a smoke stick that produces smoke that is easily visible and has a density less than or approximately equal to air. Use a smoke stick that produces smoke that is non-toxic to the test personnel and produces gas that is unreactive with the environment in the test chamber.</t>
    </r>
  </si>
  <si>
    <r>
      <t xml:space="preserve">Appendix N, Section 7.10.1.2: Test Conditions
</t>
    </r>
    <r>
      <rPr>
        <i/>
        <sz val="11"/>
        <rFont val="Palatino Linotype"/>
        <family val="1"/>
      </rPr>
      <t>Minimize all air currents and drafts in the test chamber, including turning off ventilation if the test chamber is mechanically ventilated. Wait at least two minutes following the termination of the furnace or boiler on-cycle before beginning the optional test method for indicating the absence of flow through the heat exchanger.</t>
    </r>
  </si>
  <si>
    <r>
      <t xml:space="preserve">Appendix N, Section 7.10.1.3: Location of the Test Apparatus
</t>
    </r>
    <r>
      <rPr>
        <i/>
        <sz val="11"/>
        <rFont val="Palatino Linotype"/>
        <family val="1"/>
      </rPr>
      <t>After all air currents and drafts in the test chamber have been eliminated or minimized, position the smoke stick based on the following equipment configuration: (a) For horizontal combustion air intakes, approximately 4 inches from the vertical plane at the termination of the intake vent and 4 inches below the bottom edge of the combustion air intake; or (b) for vertical combustion air intakes, approximately 4 inches horizontal from vent perimeter at the termination of the intake vent and 4 inches down (parallel to the vertical axis of the vent). In the instance where the boiler combustion air intake is closer than 4 inches to the floor, place the smoke device directly on the floor without impeding the flow of smoke.</t>
    </r>
  </si>
  <si>
    <r>
      <t xml:space="preserve">Appendix N, Section 7.10.1.4: Duration of Test
</t>
    </r>
    <r>
      <rPr>
        <i/>
        <sz val="11"/>
        <rFont val="Palatino Linotype"/>
        <family val="1"/>
      </rPr>
      <t>Establish the presence of smoke from the smoke stick and then monitor the direction of the smoke flow for no less than 30 seconds.</t>
    </r>
  </si>
  <si>
    <r>
      <t xml:space="preserve">Appendix N, Section 7.10.1.5: Test Results
</t>
    </r>
    <r>
      <rPr>
        <i/>
        <sz val="11"/>
        <rFont val="Palatino Linotype"/>
        <family val="1"/>
      </rPr>
      <t>During visual assessment, determine whether there is any draw of smoke into the combustion air intake vent.
If absolutely no smoke is drawn into the combustion air intake, the furnace or boiler meets the requirements to allow use of the minimum default draft factor pursuant to section 8.8.3 and/or section 9.10 of ASHRAE 103-1993.
If there is any smoke drawn into the intake, proceed with the methods of testing as prescribed in section 8.8 of ASHRAE 103-1993.</t>
    </r>
  </si>
  <si>
    <r>
      <t>ASHRAE 103-1993, Section 8.8: Methods for Detennining Draft Factor D</t>
    </r>
    <r>
      <rPr>
        <b/>
        <vertAlign val="subscript"/>
        <sz val="11"/>
        <rFont val="Palatino Linotype"/>
        <family val="1"/>
      </rPr>
      <t>P</t>
    </r>
    <r>
      <rPr>
        <b/>
        <sz val="11"/>
        <rFont val="Palatino Linotype"/>
        <family val="1"/>
      </rPr>
      <t>, D</t>
    </r>
    <r>
      <rPr>
        <b/>
        <vertAlign val="subscript"/>
        <sz val="11"/>
        <rFont val="Palatino Linotype"/>
        <family val="1"/>
      </rPr>
      <t>F</t>
    </r>
    <r>
      <rPr>
        <b/>
        <sz val="11"/>
        <rFont val="Palatino Linotype"/>
        <family val="1"/>
      </rPr>
      <t>, and D</t>
    </r>
    <r>
      <rPr>
        <b/>
        <vertAlign val="subscript"/>
        <sz val="11"/>
        <rFont val="Palatino Linotype"/>
        <family val="1"/>
      </rPr>
      <t>S</t>
    </r>
  </si>
  <si>
    <r>
      <t xml:space="preserve">ASHRAE 103-1993, Section 8.8.1: Standard Method 
</t>
    </r>
    <r>
      <rPr>
        <i/>
        <sz val="11"/>
        <rFont val="Palatino Linotype"/>
        <family val="1"/>
      </rPr>
      <t>Use Table 6 to determine draft factors D</t>
    </r>
    <r>
      <rPr>
        <i/>
        <vertAlign val="subscript"/>
        <sz val="11"/>
        <rFont val="Palatino Linotype"/>
        <family val="1"/>
      </rPr>
      <t>F</t>
    </r>
    <r>
      <rPr>
        <i/>
        <sz val="11"/>
        <rFont val="Palatino Linotype"/>
        <family val="1"/>
      </rPr>
      <t xml:space="preserve"> and D</t>
    </r>
    <r>
      <rPr>
        <i/>
        <vertAlign val="subscript"/>
        <sz val="11"/>
        <rFont val="Palatino Linotype"/>
        <family val="1"/>
      </rPr>
      <t>S</t>
    </r>
    <r>
      <rPr>
        <i/>
        <sz val="11"/>
        <rFont val="Palatino Linotype"/>
        <family val="1"/>
      </rPr>
      <t xml:space="preserve"> as required in Section 11, "Calculation of Derived Results from Test Measurements."</t>
    </r>
  </si>
  <si>
    <r>
      <t>ASHRAE 103-1993, Section 8.8.3: Additional Optional Method of Testing for Determining D</t>
    </r>
    <r>
      <rPr>
        <b/>
        <vertAlign val="subscript"/>
        <sz val="11"/>
        <rFont val="Palatino Linotype"/>
        <family val="1"/>
      </rPr>
      <t>P</t>
    </r>
    <r>
      <rPr>
        <b/>
        <sz val="11"/>
        <rFont val="Palatino Linotype"/>
        <family val="1"/>
      </rPr>
      <t xml:space="preserve"> and D</t>
    </r>
    <r>
      <rPr>
        <b/>
        <vertAlign val="subscript"/>
        <sz val="11"/>
        <rFont val="Palatino Linotype"/>
        <family val="1"/>
      </rPr>
      <t>F</t>
    </r>
    <r>
      <rPr>
        <b/>
        <sz val="11"/>
        <rFont val="Palatino Linotype"/>
        <family val="1"/>
      </rPr>
      <t xml:space="preserve"> for Furnaces and Boilers 
</t>
    </r>
    <r>
      <rPr>
        <i/>
        <sz val="11"/>
        <rFont val="Palatino Linotype"/>
        <family val="1"/>
      </rPr>
      <t>On units whose design is such that there is absolutely no chance of airflow through the combustion chamber and heat exchanger when the bumer(s) is off, D</t>
    </r>
    <r>
      <rPr>
        <i/>
        <vertAlign val="subscript"/>
        <sz val="11"/>
        <rFont val="Palatino Linotype"/>
        <family val="1"/>
      </rPr>
      <t>F</t>
    </r>
    <r>
      <rPr>
        <i/>
        <sz val="11"/>
        <rFont val="Palatino Linotype"/>
        <family val="1"/>
      </rPr>
      <t xml:space="preserve"> and D</t>
    </r>
    <r>
      <rPr>
        <i/>
        <vertAlign val="subscript"/>
        <sz val="11"/>
        <rFont val="Palatino Linotype"/>
        <family val="1"/>
      </rPr>
      <t>P</t>
    </r>
    <r>
      <rPr>
        <i/>
        <sz val="11"/>
        <rFont val="Palatino Linotype"/>
        <family val="1"/>
      </rPr>
      <t xml:space="preserve"> may be set equal to 0.05.</t>
    </r>
  </si>
  <si>
    <t>Is there any chance of airflow through the combustion chamber and heat exchanger when the burner(s) is off?</t>
  </si>
  <si>
    <t>Was airflow through the heat exchanger observed when performing procedure from Appendix N, Section 7.10.1?</t>
  </si>
  <si>
    <r>
      <t>D</t>
    </r>
    <r>
      <rPr>
        <vertAlign val="subscript"/>
        <sz val="11"/>
        <color indexed="8"/>
        <rFont val="Palatino Linotype"/>
        <family val="1"/>
      </rPr>
      <t>S</t>
    </r>
  </si>
  <si>
    <r>
      <t>Optional Tracer Gas Procedure from ASHRAE 103-1993, Section 8.8.2 Used?
If Yes is selected, D</t>
    </r>
    <r>
      <rPr>
        <vertAlign val="subscript"/>
        <sz val="11"/>
        <color rgb="FF000000"/>
        <rFont val="Palatino Linotype"/>
        <family val="1"/>
      </rPr>
      <t>F</t>
    </r>
    <r>
      <rPr>
        <sz val="11"/>
        <color indexed="8"/>
        <rFont val="Palatino Linotype"/>
        <family val="1"/>
      </rPr>
      <t>=D</t>
    </r>
    <r>
      <rPr>
        <vertAlign val="subscript"/>
        <sz val="11"/>
        <color rgb="FF000000"/>
        <rFont val="Palatino Linotype"/>
        <family val="1"/>
      </rPr>
      <t>P</t>
    </r>
    <r>
      <rPr>
        <sz val="11"/>
        <color indexed="8"/>
        <rFont val="Palatino Linotype"/>
        <family val="1"/>
      </rPr>
      <t>.
If No is selected, constants from Table 6 are used for D</t>
    </r>
    <r>
      <rPr>
        <vertAlign val="subscript"/>
        <sz val="11"/>
        <color rgb="FF000000"/>
        <rFont val="Palatino Linotype"/>
        <family val="1"/>
      </rPr>
      <t>F</t>
    </r>
    <r>
      <rPr>
        <sz val="11"/>
        <color indexed="8"/>
        <rFont val="Palatino Linotype"/>
        <family val="1"/>
      </rPr>
      <t xml:space="preserve">. </t>
    </r>
  </si>
  <si>
    <r>
      <t>ASHRAE 103-1993, Section 8.8.2: Optional Tracer Gas Method for Determining Draft Factors D</t>
    </r>
    <r>
      <rPr>
        <b/>
        <vertAlign val="subscript"/>
        <sz val="11"/>
        <rFont val="Palatino Linotype"/>
        <family val="1"/>
      </rPr>
      <t>P</t>
    </r>
    <r>
      <rPr>
        <b/>
        <sz val="11"/>
        <rFont val="Palatino Linotype"/>
        <family val="1"/>
      </rPr>
      <t>, D</t>
    </r>
    <r>
      <rPr>
        <b/>
        <vertAlign val="subscript"/>
        <sz val="11"/>
        <rFont val="Palatino Linotype"/>
        <family val="1"/>
      </rPr>
      <t>F</t>
    </r>
    <r>
      <rPr>
        <b/>
        <sz val="11"/>
        <rFont val="Palatino Linotype"/>
        <family val="1"/>
      </rPr>
      <t>, and D</t>
    </r>
    <r>
      <rPr>
        <b/>
        <vertAlign val="subscript"/>
        <sz val="11"/>
        <rFont val="Palatino Linotype"/>
        <family val="1"/>
      </rPr>
      <t>S</t>
    </r>
    <r>
      <rPr>
        <b/>
        <sz val="11"/>
        <rFont val="Palatino Linotype"/>
        <family val="1"/>
      </rPr>
      <t xml:space="preserve"> for Systems Equipped with Power Burners or Direct Vent
</t>
    </r>
    <r>
      <rPr>
        <i/>
        <sz val="11"/>
        <rFont val="Palatino Linotype"/>
        <family val="1"/>
      </rPr>
      <t>8.8.2.1 Determine D</t>
    </r>
    <r>
      <rPr>
        <i/>
        <vertAlign val="subscript"/>
        <sz val="11"/>
        <rFont val="Palatino Linotype"/>
        <family val="1"/>
      </rPr>
      <t>F</t>
    </r>
    <r>
      <rPr>
        <i/>
        <sz val="11"/>
        <rFont val="Palatino Linotype"/>
        <family val="1"/>
      </rPr>
      <t xml:space="preserve"> (the ratio of gas mass flow rate through the flue during the off-cycle to the gas mass flow rate through the flue during the on-cycle at identical temperatures) during the cool-down test described in 9.7 and the calculation procedures of 11.6 and 11.7. On units with step modulating controls, the optional tracer gas procedure shall be conducted during the cool-down test described in 9.7 at the reduced input rate only. For units with two-stage modulating controls, if the optional tracer gas procedure is conducted during the cool-down test described in 9.7 at the reduced input rate, it shall also be conducted at the maximum input rate and vice versa.
8.8.2.2 On systems for which the stack damper is to be closed during the cool-down test described in 9.5, determine D</t>
    </r>
    <r>
      <rPr>
        <i/>
        <vertAlign val="subscript"/>
        <sz val="11"/>
        <rFont val="Palatino Linotype"/>
        <family val="1"/>
      </rPr>
      <t>P</t>
    </r>
    <r>
      <rPr>
        <i/>
        <sz val="11"/>
        <rFont val="Palatino Linotype"/>
        <family val="1"/>
      </rPr>
      <t xml:space="preserve"> (the ratio of the rate of flue gas mass flow through the furnace during the off-period to the rate of flue gas mass flow through the furnace during the on-period) during a separate cool-down test. Conduct this separate cool-down test by running the unit after the heat-up test until steady-state conditions are reached (see 9.1) and then shutting the unit off with the stack damper controls bypassed or adjusted so that the stack damper remains open during the resulting cool-down period. If a draft was maintained in the flue pipe during the steady-state performance test described in 9.1, maintain the same draft (within ±0.005 in. water of the average steady-state draft) during this cool-down period. Measure the flue gas mass flow rate (M</t>
    </r>
    <r>
      <rPr>
        <i/>
        <vertAlign val="subscript"/>
        <sz val="11"/>
        <rFont val="Palatino Linotype"/>
        <family val="1"/>
      </rPr>
      <t>F,OFF</t>
    </r>
    <r>
      <rPr>
        <i/>
        <sz val="11"/>
        <rFont val="Palatino Linotype"/>
        <family val="1"/>
      </rPr>
      <t>) during the cool-down test described above at a specific off-period flue gas temperature described in 9.5 and correct (as described in 11.6.3) to obtain its value at the steady-state flue gas temperature (T</t>
    </r>
    <r>
      <rPr>
        <i/>
        <vertAlign val="subscript"/>
        <sz val="11"/>
        <rFont val="Palatino Linotype"/>
        <family val="1"/>
      </rPr>
      <t>F,SS</t>
    </r>
    <r>
      <rPr>
        <i/>
        <sz val="11"/>
        <rFont val="Palatino Linotype"/>
        <family val="1"/>
      </rPr>
      <t>) using 9.5.
8.8.2.3 Units with integral dampers as described in 7.4 shall be tested as described in 8.8.2.1.</t>
    </r>
  </si>
  <si>
    <t>End: Tracer Gas Draft Factors</t>
  </si>
  <si>
    <r>
      <t>8.8.4.1 Measure the cross-sectional area of the stack (A</t>
    </r>
    <r>
      <rPr>
        <i/>
        <vertAlign val="subscript"/>
        <sz val="11"/>
        <rFont val="Palatino Linotype"/>
        <family val="1"/>
      </rPr>
      <t>S</t>
    </r>
    <r>
      <rPr>
        <i/>
        <sz val="11"/>
        <rFont val="Palatino Linotype"/>
        <family val="1"/>
      </rPr>
      <t>), the net area of the damper plate (A</t>
    </r>
    <r>
      <rPr>
        <i/>
        <vertAlign val="subscript"/>
        <sz val="11"/>
        <rFont val="Palatino Linotype"/>
        <family val="1"/>
      </rPr>
      <t>D</t>
    </r>
    <r>
      <rPr>
        <i/>
        <sz val="11"/>
        <rFont val="Palatino Linotype"/>
        <family val="1"/>
      </rPr>
      <t>), which is the area of the damper plate minus the area of any holes in the plate, and the angle (</t>
    </r>
    <r>
      <rPr>
        <sz val="11"/>
        <rFont val="Calibri"/>
        <family val="2"/>
      </rPr>
      <t>Ω</t>
    </r>
    <r>
      <rPr>
        <i/>
        <sz val="11"/>
        <rFont val="Palatino Linotype"/>
        <family val="1"/>
      </rPr>
      <t>) the damper plate makes when closed with a plane perpendicular to the axis of the stack. Note that the area A</t>
    </r>
    <r>
      <rPr>
        <i/>
        <vertAlign val="subscript"/>
        <sz val="11"/>
        <rFont val="Palatino Linotype"/>
        <family val="1"/>
      </rPr>
      <t>S</t>
    </r>
    <r>
      <rPr>
        <i/>
        <sz val="11"/>
        <rFont val="Palatino Linotype"/>
        <family val="1"/>
      </rPr>
      <t xml:space="preserve"> is the cross-sectional area of the stack pipe, not the area inside any ring that is attached to the inside of the stack pipe. Measure the area of any holes or cutouts in the stack damper plate, A</t>
    </r>
    <r>
      <rPr>
        <i/>
        <vertAlign val="subscript"/>
        <sz val="11"/>
        <rFont val="Palatino Linotype"/>
        <family val="1"/>
      </rPr>
      <t>O,D</t>
    </r>
    <r>
      <rPr>
        <i/>
        <sz val="11"/>
        <rFont val="Palatino Linotype"/>
        <family val="1"/>
      </rPr>
      <t>, and either measure, or obtain from the manufacturer of the stack damper, the leakage area, A</t>
    </r>
    <r>
      <rPr>
        <i/>
        <vertAlign val="subscript"/>
        <sz val="11"/>
        <rFont val="Palatino Linotype"/>
        <family val="1"/>
      </rPr>
      <t>O,L</t>
    </r>
    <r>
      <rPr>
        <i/>
        <sz val="11"/>
        <rFont val="Palatino Linotype"/>
        <family val="1"/>
      </rPr>
      <t>, at the damper shaft and around the damper edge when the damper is at the closed position. Both areas shall be measured at the plane of the damper.
8.8.4.2 Determine the time it takes for the damper to be energized following burner shutdown, t</t>
    </r>
    <r>
      <rPr>
        <i/>
        <vertAlign val="subscript"/>
        <sz val="11"/>
        <rFont val="Palatino Linotype"/>
        <family val="1"/>
      </rPr>
      <t>s</t>
    </r>
    <r>
      <rPr>
        <i/>
        <sz val="11"/>
        <rFont val="Palatino Linotype"/>
        <family val="1"/>
      </rPr>
      <t>. Also determine the time interval, t</t>
    </r>
    <r>
      <rPr>
        <i/>
        <vertAlign val="subscript"/>
        <sz val="11"/>
        <rFont val="Palatino Linotype"/>
        <family val="1"/>
      </rPr>
      <t>d</t>
    </r>
    <r>
      <rPr>
        <i/>
        <sz val="11"/>
        <rFont val="Palatino Linotype"/>
        <family val="1"/>
      </rPr>
      <t>, it takes from when the damper is energized to when the damper blade stops moving.</t>
    </r>
  </si>
  <si>
    <r>
      <t>ASHRAE 103-1993, Section 8.8.4: Methods of Measurement for Determining D</t>
    </r>
    <r>
      <rPr>
        <b/>
        <vertAlign val="subscript"/>
        <sz val="11"/>
        <rFont val="Palatino Linotype"/>
        <family val="1"/>
      </rPr>
      <t>O</t>
    </r>
    <r>
      <rPr>
        <b/>
        <sz val="11"/>
        <rFont val="Palatino Linotype"/>
        <family val="1"/>
      </rPr>
      <t xml:space="preserve"> of Automatic Stack Damper</t>
    </r>
  </si>
  <si>
    <r>
      <t>Stack Damper Effectiveness Factor (D</t>
    </r>
    <r>
      <rPr>
        <b/>
        <vertAlign val="subscript"/>
        <sz val="11"/>
        <rFont val="Palatino Linotype"/>
        <family val="1"/>
      </rPr>
      <t>O</t>
    </r>
    <r>
      <rPr>
        <b/>
        <sz val="11"/>
        <rFont val="Palatino Linotype"/>
        <family val="1"/>
      </rPr>
      <t>) of Automatic Stack Damper</t>
    </r>
  </si>
  <si>
    <t>Measurements for this procedure are recorded in the Steady-State Test.</t>
  </si>
  <si>
    <r>
      <rPr>
        <b/>
        <sz val="11"/>
        <color theme="1"/>
        <rFont val="Palatino Linotype"/>
        <family val="1"/>
      </rPr>
      <t xml:space="preserve">Appendix N, Section 7.8: Measurement of Jacket Surface Temperature. </t>
    </r>
    <r>
      <rPr>
        <sz val="11"/>
        <color theme="1"/>
        <rFont val="Palatino Linotype"/>
        <family val="2"/>
      </rPr>
      <t xml:space="preserve">
</t>
    </r>
    <r>
      <rPr>
        <i/>
        <sz val="11"/>
        <color theme="1"/>
        <rFont val="Palatino Linotype"/>
        <family val="1"/>
      </rPr>
      <t>Divide the jacket of the furnace or boiler into 6-inch squares when practical, and otherwise into 36-square-inch regions comprising 4 inch by 9 inch or 3 inch by 12 inch sections, and determine the surface temperature at the center of each square or section with a surface thermocouple. Record the surface temperature of the 36-square-inch areas in groups where the temperature differential of the 36-square-inch areas is less than 10°F for temperature up to 100°F above room temperature, and less than 20°F for temperatures more than 100°F above room temperature. For forced-air central furnaces, the circulating air blower compartment is considered as part of the duct system, and no surface temperature measurement of the blower compartment needs to be recorded for the purpose of this test. For downflow furnaces, measure all cabinet surface temperatures of the heat exchanger and combustion section, including the bottom around the outlet duct and the burner door, using the 36-square-inch thermocouple grid. The cabinet surface temperatures around the blower section do not need to be measured (See Figure 3-E of ASHRAE 103-1993).</t>
    </r>
  </si>
  <si>
    <t>ASHRAE 103-1993, Section 8.6.1: Gas-Fueled Gravity Furnaces, Forced-Air Central Furnaces, and Low-Pressure Steam and Hot Water Boilers</t>
  </si>
  <si>
    <r>
      <rPr>
        <b/>
        <sz val="11"/>
        <color theme="1"/>
        <rFont val="Palatino Linotype"/>
        <family val="1"/>
      </rPr>
      <t>ASHRAE 103-1993, Section 8.6: Jacket Loss Measurement</t>
    </r>
    <r>
      <rPr>
        <sz val="11"/>
        <color theme="1"/>
        <rFont val="Palatino Linotype"/>
        <family val="2"/>
      </rPr>
      <t xml:space="preserve">
</t>
    </r>
    <r>
      <rPr>
        <i/>
        <sz val="11"/>
        <color theme="1"/>
        <rFont val="Palatino Linotype"/>
        <family val="1"/>
      </rPr>
      <t>For units intended to be installed outdoors or in an unheated space (including isolated combustion systems), the jacket loss may be assigned the value of 1% or a jacket loss test may be performed. Conduct the test at steady-state conditions according to 9.1. For modulating units, run the test at maximum input only. The jacket loss (L</t>
    </r>
    <r>
      <rPr>
        <i/>
        <vertAlign val="subscript"/>
        <sz val="11"/>
        <color theme="1"/>
        <rFont val="Palatino Linotype"/>
        <family val="1"/>
      </rPr>
      <t>J</t>
    </r>
    <r>
      <rPr>
        <i/>
        <sz val="11"/>
        <color theme="1"/>
        <rFont val="Palatino Linotype"/>
        <family val="1"/>
      </rPr>
      <t>) is measured in accordance with the following paragraphs.</t>
    </r>
  </si>
  <si>
    <t>8.6.1.1 The jacket of the furnace or boiler shall be subdivided into 6-inch squares when practical (otherwise use 36-square-inch regions comprising 4 in. X 9 in. or 3 in. x 12 in. sections) and the surface temperature at the center of each square determined with a surface thermocouple. The 36-square-inch areas shall be recorded in groups where the temperature differential of the 36-square-inch areas is less than 10°F for temperatures up to 100°F above room temperature and less than 20°F for temperatures more than 100°F above room temperature.
For forced-air central furnaces, the circulating air blower compartment is considered as part of the duct system and no surface temperature of the blower compartment needs to be recorded for the purpose of this test. For units with ventilation air openings on the top, front, or sides of the unit, those openings from which the ventilation air exits from the cabinet shall be taped or sealed with aluminum tape during this test. A smoke test during a steady-state test may be used to determine the openings where the ventilation air exits from the cabinet. On the taped openings, subdivide the area into the normal 36-square-inch grids and measure the surface temperatures in each grid with a surface thermocouple. Install the thermocouple over the aluminum tape if necessary. For downflow furnaces, measure all cabinet surface temperatures of the heat exchanger and combustion section, including the burner door and the bottom around the outlet duct, using the 36-square-inch thermocouple grid. If the burner door is louvered to allow for combustion air to enter, measure temperatures on the metal strips between the louvers using the normal 36-square-inch grid. The cabinet surface temperatures around the blower section do not need to be measured (see Figure 3e), and the taping of the ventilation air openings shall be as described above.</t>
  </si>
  <si>
    <r>
      <t>8.6.1.2 Any casing panel at any angle of 45° or less from the vertical shall be considered as a vertical surface. An exposed flue collector (breeching) or flue outlet forming an integral part of the furnace shall not be included in casing surface temperature measurements. Average room temperature (T</t>
    </r>
    <r>
      <rPr>
        <i/>
        <vertAlign val="subscript"/>
        <sz val="11"/>
        <color theme="1"/>
        <rFont val="Palatino Linotype"/>
        <family val="1"/>
      </rPr>
      <t>RA</t>
    </r>
    <r>
      <rPr>
        <i/>
        <sz val="11"/>
        <color theme="1"/>
        <rFont val="Palatino Linotype"/>
        <family val="1"/>
      </rPr>
      <t>) shall be determined by not less than four readings at approximately equal intervals during the test. The value of h</t>
    </r>
    <r>
      <rPr>
        <i/>
        <vertAlign val="subscript"/>
        <sz val="11"/>
        <color theme="1"/>
        <rFont val="Palatino Linotype"/>
        <family val="1"/>
      </rPr>
      <t>C</t>
    </r>
    <r>
      <rPr>
        <i/>
        <sz val="11"/>
        <color theme="1"/>
        <rFont val="Palatino Linotype"/>
        <family val="1"/>
      </rPr>
      <t xml:space="preserve"> for a recorded group may be found from the curves shown in Figure 20. The value of h</t>
    </r>
    <r>
      <rPr>
        <i/>
        <vertAlign val="subscript"/>
        <sz val="11"/>
        <color theme="1"/>
        <rFont val="Palatino Linotype"/>
        <family val="1"/>
      </rPr>
      <t>ri</t>
    </r>
    <r>
      <rPr>
        <i/>
        <sz val="11"/>
        <color theme="1"/>
        <rFont val="Palatino Linotype"/>
        <family val="1"/>
      </rPr>
      <t xml:space="preserve"> for a recorded group may be found from the curves shown in Figure 21. Since Figure 21 is based on an emissivity of 1.0, the coefficient h</t>
    </r>
    <r>
      <rPr>
        <i/>
        <vertAlign val="subscript"/>
        <sz val="11"/>
        <color theme="1"/>
        <rFont val="Palatino Linotype"/>
        <family val="1"/>
      </rPr>
      <t>ri</t>
    </r>
    <r>
      <rPr>
        <i/>
        <sz val="11"/>
        <color theme="1"/>
        <rFont val="Palatino Linotype"/>
        <family val="1"/>
      </rPr>
      <t xml:space="preserve"> obtained therefrom should be multiplied by the emissivity of the surface under consideration to obtain the correct coefficient for the surface h</t>
    </r>
    <r>
      <rPr>
        <i/>
        <vertAlign val="subscript"/>
        <sz val="11"/>
        <color theme="1"/>
        <rFont val="Palatino Linotype"/>
        <family val="1"/>
      </rPr>
      <t>rs</t>
    </r>
    <r>
      <rPr>
        <i/>
        <sz val="11"/>
        <color theme="1"/>
        <rFont val="Palatino Linotype"/>
        <family val="1"/>
      </rPr>
      <t>. Emissivities as given in the literature for some common jacket materials are
0.23: galvanized sheet iron, bright
0.28: galvanized sheet iron, oxidized
0.93: asbestos paper
0.87: miscellaneous paint finishes
Thus, h</t>
    </r>
    <r>
      <rPr>
        <i/>
        <vertAlign val="subscript"/>
        <sz val="11"/>
        <color theme="1"/>
        <rFont val="Palatino Linotype"/>
        <family val="1"/>
      </rPr>
      <t>rs</t>
    </r>
    <r>
      <rPr>
        <i/>
        <sz val="11"/>
        <color theme="1"/>
        <rFont val="Palatino Linotype"/>
        <family val="1"/>
      </rPr>
      <t xml:space="preserve"> for a painted surface is equal to h</t>
    </r>
    <r>
      <rPr>
        <i/>
        <vertAlign val="subscript"/>
        <sz val="11"/>
        <color theme="1"/>
        <rFont val="Palatino Linotype"/>
        <family val="1"/>
      </rPr>
      <t>ri</t>
    </r>
    <r>
      <rPr>
        <i/>
        <sz val="11"/>
        <color theme="1"/>
        <rFont val="Palatino Linotype"/>
        <family val="1"/>
      </rPr>
      <t xml:space="preserve"> multiplied by 0.87.</t>
    </r>
  </si>
  <si>
    <t>8.6.2.1 Surface temperature measurements on the oil burner, burner mounting plate, and inspection or access door panels may be omitted for the purposes of this test. The surface temperatures of the casing adjacent to these items shall be measured at points not less than 2 inches from the edges of each frame or panel.</t>
  </si>
  <si>
    <r>
      <rPr>
        <b/>
        <sz val="11"/>
        <color theme="1"/>
        <rFont val="Palatino Linotype"/>
        <family val="1"/>
      </rPr>
      <t xml:space="preserve">ASHRAE 103-1993, Section 8.6.2: Oil-Fueled Forced-Air Central Furnaces and Low-Pressure Steam and Hot Water Boilers </t>
    </r>
    <r>
      <rPr>
        <sz val="11"/>
        <color theme="1"/>
        <rFont val="Palatino Linotype"/>
        <family val="2"/>
      </rPr>
      <t xml:space="preserve">
</t>
    </r>
    <r>
      <rPr>
        <i/>
        <sz val="11"/>
        <color theme="1"/>
        <rFont val="Palatino Linotype"/>
        <family val="1"/>
      </rPr>
      <t>The jacket loss measurement is the same as in 8.6.1.</t>
    </r>
  </si>
  <si>
    <r>
      <rPr>
        <b/>
        <sz val="11"/>
        <color theme="1"/>
        <rFont val="Palatino Linotype"/>
        <family val="1"/>
      </rPr>
      <t xml:space="preserve">ASHRAE 103-1993, Section 8.6.3: Electric Forced-Air Central Furnaces and Low-Pressure Steam and Hot Water Boilers </t>
    </r>
    <r>
      <rPr>
        <sz val="11"/>
        <color theme="1"/>
        <rFont val="Palatino Linotype"/>
        <family val="2"/>
      </rPr>
      <t xml:space="preserve">
</t>
    </r>
    <r>
      <rPr>
        <i/>
        <sz val="11"/>
        <color theme="1"/>
        <rFont val="Palatino Linotype"/>
        <family val="1"/>
      </rPr>
      <t>The jacket loss measurement is the same as in 8.6.1.</t>
    </r>
  </si>
  <si>
    <t>Jacket Loss Test</t>
  </si>
  <si>
    <t>Top Surface</t>
  </si>
  <si>
    <t>Group Area (sq ft)</t>
  </si>
  <si>
    <t>Surface Temp (°F)</t>
  </si>
  <si>
    <t>Temp Difference (°F)</t>
  </si>
  <si>
    <t>Area 1</t>
  </si>
  <si>
    <t>Area 2</t>
  </si>
  <si>
    <t>Area 3</t>
  </si>
  <si>
    <t>Area 4</t>
  </si>
  <si>
    <t>Area 5</t>
  </si>
  <si>
    <t>Area 6</t>
  </si>
  <si>
    <t>Area 7</t>
  </si>
  <si>
    <t>Area 8</t>
  </si>
  <si>
    <t>Area 9</t>
  </si>
  <si>
    <t>Area 10</t>
  </si>
  <si>
    <t>Area 11</t>
  </si>
  <si>
    <t>Area 12</t>
  </si>
  <si>
    <t>Area 13</t>
  </si>
  <si>
    <t>Area 14</t>
  </si>
  <si>
    <t>Area 15</t>
  </si>
  <si>
    <t>Area 16</t>
  </si>
  <si>
    <t>Area 17</t>
  </si>
  <si>
    <t>Area 18</t>
  </si>
  <si>
    <t>Area 19</t>
  </si>
  <si>
    <t>Area 20</t>
  </si>
  <si>
    <t>Area 21</t>
  </si>
  <si>
    <t>Area 22</t>
  </si>
  <si>
    <t>Area 23</t>
  </si>
  <si>
    <t>Area 24</t>
  </si>
  <si>
    <t>Area 25</t>
  </si>
  <si>
    <t>Area 26</t>
  </si>
  <si>
    <t>Area 27</t>
  </si>
  <si>
    <t>Area 28</t>
  </si>
  <si>
    <t>Area 29</t>
  </si>
  <si>
    <t>Area 30</t>
  </si>
  <si>
    <t>Area 31</t>
  </si>
  <si>
    <t>Area 32</t>
  </si>
  <si>
    <t>Area 33</t>
  </si>
  <si>
    <t>Area 34</t>
  </si>
  <si>
    <t>Area 35</t>
  </si>
  <si>
    <t>Area 36</t>
  </si>
  <si>
    <t>Area 37</t>
  </si>
  <si>
    <t>Area 38</t>
  </si>
  <si>
    <t>Area 39</t>
  </si>
  <si>
    <t>Area 40</t>
  </si>
  <si>
    <t>Area 41</t>
  </si>
  <si>
    <t>Area 42</t>
  </si>
  <si>
    <t>Area 43</t>
  </si>
  <si>
    <t>Area 44</t>
  </si>
  <si>
    <t>Area 45</t>
  </si>
  <si>
    <t>Area 46</t>
  </si>
  <si>
    <t>Area 47</t>
  </si>
  <si>
    <t>Area 48</t>
  </si>
  <si>
    <t>Area 49</t>
  </si>
  <si>
    <t>Area 50</t>
  </si>
  <si>
    <t>Area 51</t>
  </si>
  <si>
    <t>Area 52</t>
  </si>
  <si>
    <t>Area 53</t>
  </si>
  <si>
    <t>Area 54</t>
  </si>
  <si>
    <t>Area 55</t>
  </si>
  <si>
    <t>Area 56</t>
  </si>
  <si>
    <t>Area 57</t>
  </si>
  <si>
    <t>Area 58</t>
  </si>
  <si>
    <t>Area 59</t>
  </si>
  <si>
    <t>Area 60</t>
  </si>
  <si>
    <t>Area 61</t>
  </si>
  <si>
    <t>Area 62</t>
  </si>
  <si>
    <t>Area 63</t>
  </si>
  <si>
    <t>Area 64</t>
  </si>
  <si>
    <t>Area 65</t>
  </si>
  <si>
    <t>Area 66</t>
  </si>
  <si>
    <t>Area 67</t>
  </si>
  <si>
    <t>Area 68</t>
  </si>
  <si>
    <t>Area 69</t>
  </si>
  <si>
    <t>Area 70</t>
  </si>
  <si>
    <t>Area 71</t>
  </si>
  <si>
    <t>Area 72</t>
  </si>
  <si>
    <t>Area 73</t>
  </si>
  <si>
    <t>Area 74</t>
  </si>
  <si>
    <t>Area 75</t>
  </si>
  <si>
    <t>Area 76</t>
  </si>
  <si>
    <t>Area 77</t>
  </si>
  <si>
    <t>Area 78</t>
  </si>
  <si>
    <t>Area 79</t>
  </si>
  <si>
    <t>Area 80</t>
  </si>
  <si>
    <t>Area 81</t>
  </si>
  <si>
    <t>Area 82</t>
  </si>
  <si>
    <t>Area 83</t>
  </si>
  <si>
    <t>Area 84</t>
  </si>
  <si>
    <t>Area 85</t>
  </si>
  <si>
    <t>Area 86</t>
  </si>
  <si>
    <t>Area 87</t>
  </si>
  <si>
    <t>Area 88</t>
  </si>
  <si>
    <t>Area 89</t>
  </si>
  <si>
    <t>Area 90</t>
  </si>
  <si>
    <t>Area 91</t>
  </si>
  <si>
    <t>Area 92</t>
  </si>
  <si>
    <t>Area 93</t>
  </si>
  <si>
    <t>Area 94</t>
  </si>
  <si>
    <t>Area 95</t>
  </si>
  <si>
    <t>Area 96</t>
  </si>
  <si>
    <t>Area 97</t>
  </si>
  <si>
    <t>Area 98</t>
  </si>
  <si>
    <t>Area 99</t>
  </si>
  <si>
    <t>Area 100</t>
  </si>
  <si>
    <t>Bottom Surface</t>
  </si>
  <si>
    <t>Side Surfaces</t>
  </si>
  <si>
    <t>Jacket Loss - Used</t>
  </si>
  <si>
    <t>Jacket Loss - Calculation</t>
  </si>
  <si>
    <t>Jacket Loss - Manual Entry</t>
  </si>
  <si>
    <t>Top Coefficient of Convection</t>
  </si>
  <si>
    <t>Bottom Coefficient of Convection</t>
  </si>
  <si>
    <t>Side Coefficient of Convection</t>
  </si>
  <si>
    <t>Coefficient of Radiation, ε=1.0</t>
  </si>
  <si>
    <t>Coefficient of Radiation, surface</t>
  </si>
  <si>
    <t>Btu/h/sq ft/°F</t>
  </si>
  <si>
    <t>Top Surface Hourly Heat Loss</t>
  </si>
  <si>
    <t>Bottom Surface Hourly Heat Loss</t>
  </si>
  <si>
    <t>Side Surfaces Hourly Heat Loss</t>
  </si>
  <si>
    <r>
      <t>L</t>
    </r>
    <r>
      <rPr>
        <vertAlign val="subscript"/>
        <sz val="11"/>
        <color theme="1"/>
        <rFont val="Palatino Linotype"/>
        <family val="1"/>
      </rPr>
      <t>J</t>
    </r>
  </si>
  <si>
    <r>
      <t>h</t>
    </r>
    <r>
      <rPr>
        <vertAlign val="subscript"/>
        <sz val="11"/>
        <color theme="1"/>
        <rFont val="Palatino Linotype"/>
        <family val="1"/>
      </rPr>
      <t>C</t>
    </r>
  </si>
  <si>
    <r>
      <t>h</t>
    </r>
    <r>
      <rPr>
        <vertAlign val="subscript"/>
        <sz val="11"/>
        <color theme="1"/>
        <rFont val="Palatino Linotype"/>
        <family val="1"/>
      </rPr>
      <t>ri</t>
    </r>
  </si>
  <si>
    <t>Description</t>
  </si>
  <si>
    <r>
      <t>h</t>
    </r>
    <r>
      <rPr>
        <vertAlign val="subscript"/>
        <sz val="11"/>
        <color theme="1"/>
        <rFont val="Palatino Linotype"/>
        <family val="1"/>
      </rPr>
      <t>rs</t>
    </r>
  </si>
  <si>
    <r>
      <t>8.6.1.3 The hourly heat loss through the jacket, H</t>
    </r>
    <r>
      <rPr>
        <i/>
        <vertAlign val="subscript"/>
        <sz val="11"/>
        <color theme="1"/>
        <rFont val="Palatino Linotype"/>
        <family val="1"/>
      </rPr>
      <t>S</t>
    </r>
    <r>
      <rPr>
        <i/>
        <sz val="11"/>
        <color theme="1"/>
        <rFont val="Palatino Linotype"/>
        <family val="2"/>
      </rPr>
      <t xml:space="preserve">, shall be the sum of the hourly heat loss, </t>
    </r>
    <r>
      <rPr>
        <i/>
        <sz val="11"/>
        <color theme="1"/>
        <rFont val="Calibri"/>
        <family val="2"/>
      </rPr>
      <t>Σ</t>
    </r>
    <r>
      <rPr>
        <i/>
        <sz val="11"/>
        <color theme="1"/>
        <rFont val="Palatino Linotype"/>
        <family val="2"/>
      </rPr>
      <t>H</t>
    </r>
    <r>
      <rPr>
        <i/>
        <vertAlign val="subscript"/>
        <sz val="11"/>
        <color theme="1"/>
        <rFont val="Palatino Linotype"/>
        <family val="1"/>
      </rPr>
      <t>S</t>
    </r>
    <r>
      <rPr>
        <i/>
        <sz val="11"/>
        <color theme="1"/>
        <rFont val="Palatino Linotype"/>
        <family val="2"/>
      </rPr>
      <t>, where H</t>
    </r>
    <r>
      <rPr>
        <i/>
        <vertAlign val="subscript"/>
        <sz val="11"/>
        <color theme="1"/>
        <rFont val="Palatino Linotype"/>
        <family val="1"/>
      </rPr>
      <t>S</t>
    </r>
    <r>
      <rPr>
        <i/>
        <sz val="11"/>
        <color theme="1"/>
        <rFont val="Palatino Linotype"/>
        <family val="2"/>
      </rPr>
      <t xml:space="preserve"> is the hourly heat loss for each recorded group as computed from the formula
H</t>
    </r>
    <r>
      <rPr>
        <i/>
        <vertAlign val="subscript"/>
        <sz val="11"/>
        <color theme="1"/>
        <rFont val="Palatino Linotype"/>
        <family val="1"/>
      </rPr>
      <t>S</t>
    </r>
    <r>
      <rPr>
        <i/>
        <sz val="11"/>
        <color theme="1"/>
        <rFont val="Palatino Linotype"/>
        <family val="2"/>
      </rPr>
      <t xml:space="preserve"> = (h</t>
    </r>
    <r>
      <rPr>
        <i/>
        <vertAlign val="subscript"/>
        <sz val="11"/>
        <color theme="1"/>
        <rFont val="Palatino Linotype"/>
        <family val="1"/>
      </rPr>
      <t>rs</t>
    </r>
    <r>
      <rPr>
        <i/>
        <sz val="11"/>
        <color theme="1"/>
        <rFont val="Palatino Linotype"/>
        <family val="2"/>
      </rPr>
      <t xml:space="preserve"> + h</t>
    </r>
    <r>
      <rPr>
        <i/>
        <vertAlign val="subscript"/>
        <sz val="11"/>
        <color theme="1"/>
        <rFont val="Palatino Linotype"/>
        <family val="1"/>
      </rPr>
      <t>C</t>
    </r>
    <r>
      <rPr>
        <i/>
        <sz val="11"/>
        <color theme="1"/>
        <rFont val="Palatino Linotype"/>
        <family val="2"/>
      </rPr>
      <t>) A</t>
    </r>
    <r>
      <rPr>
        <i/>
        <vertAlign val="subscript"/>
        <sz val="11"/>
        <color theme="1"/>
        <rFont val="Palatino Linotype"/>
        <family val="1"/>
      </rPr>
      <t>G</t>
    </r>
    <r>
      <rPr>
        <i/>
        <sz val="11"/>
        <color theme="1"/>
        <rFont val="Palatino Linotype"/>
        <family val="2"/>
      </rPr>
      <t xml:space="preserve"> (T</t>
    </r>
    <r>
      <rPr>
        <i/>
        <vertAlign val="subscript"/>
        <sz val="11"/>
        <color theme="1"/>
        <rFont val="Palatino Linotype"/>
        <family val="1"/>
      </rPr>
      <t>S</t>
    </r>
    <r>
      <rPr>
        <i/>
        <sz val="11"/>
        <color theme="1"/>
        <rFont val="Palatino Linotype"/>
        <family val="2"/>
      </rPr>
      <t xml:space="preserve"> - T</t>
    </r>
    <r>
      <rPr>
        <i/>
        <vertAlign val="subscript"/>
        <sz val="11"/>
        <color theme="1"/>
        <rFont val="Palatino Linotype"/>
        <family val="1"/>
      </rPr>
      <t>RA</t>
    </r>
    <r>
      <rPr>
        <i/>
        <sz val="11"/>
        <color theme="1"/>
        <rFont val="Palatino Linotype"/>
        <family val="2"/>
      </rPr>
      <t>)
where
H</t>
    </r>
    <r>
      <rPr>
        <i/>
        <vertAlign val="subscript"/>
        <sz val="11"/>
        <color theme="1"/>
        <rFont val="Palatino Linotype"/>
        <family val="1"/>
      </rPr>
      <t>S</t>
    </r>
    <r>
      <rPr>
        <i/>
        <sz val="11"/>
        <color theme="1"/>
        <rFont val="Palatino Linotype"/>
        <family val="2"/>
      </rPr>
      <t xml:space="preserve"> = hourly heat loss through jacket in Btu per each recorded group;
h</t>
    </r>
    <r>
      <rPr>
        <i/>
        <vertAlign val="subscript"/>
        <sz val="11"/>
        <color theme="1"/>
        <rFont val="Palatino Linotype"/>
        <family val="1"/>
      </rPr>
      <t>rs</t>
    </r>
    <r>
      <rPr>
        <i/>
        <sz val="11"/>
        <color theme="1"/>
        <rFont val="Palatino Linotype"/>
        <family val="2"/>
      </rPr>
      <t xml:space="preserve"> = coefficient of radiation for the surface, Btu/(h· ft</t>
    </r>
    <r>
      <rPr>
        <i/>
        <vertAlign val="superscript"/>
        <sz val="11"/>
        <color theme="1"/>
        <rFont val="Palatino Linotype"/>
        <family val="1"/>
      </rPr>
      <t>2</t>
    </r>
    <r>
      <rPr>
        <i/>
        <sz val="11"/>
        <color theme="1"/>
        <rFont val="Palatino Linotype"/>
        <family val="2"/>
      </rPr>
      <t xml:space="preserve"> °F);
h</t>
    </r>
    <r>
      <rPr>
        <i/>
        <vertAlign val="subscript"/>
        <sz val="11"/>
        <color theme="1"/>
        <rFont val="Palatino Linotype"/>
        <family val="1"/>
      </rPr>
      <t>C</t>
    </r>
    <r>
      <rPr>
        <i/>
        <sz val="11"/>
        <color theme="1"/>
        <rFont val="Palatino Linotype"/>
        <family val="2"/>
      </rPr>
      <t xml:space="preserve"> = coefficient of convection, Btu/(b·ft</t>
    </r>
    <r>
      <rPr>
        <i/>
        <vertAlign val="superscript"/>
        <sz val="11"/>
        <color theme="1"/>
        <rFont val="Palatino Linotype"/>
        <family val="1"/>
      </rPr>
      <t>2</t>
    </r>
    <r>
      <rPr>
        <i/>
        <sz val="11"/>
        <color theme="1"/>
        <rFont val="Palatino Linotype"/>
        <family val="2"/>
      </rPr>
      <t xml:space="preserve"> °F);
A</t>
    </r>
    <r>
      <rPr>
        <i/>
        <vertAlign val="subscript"/>
        <sz val="11"/>
        <color theme="1"/>
        <rFont val="Palatino Linotype"/>
        <family val="1"/>
      </rPr>
      <t>G</t>
    </r>
    <r>
      <rPr>
        <i/>
        <sz val="11"/>
        <color theme="1"/>
        <rFont val="Palatino Linotype"/>
        <family val="2"/>
      </rPr>
      <t xml:space="preserve"> = area of group, ft</t>
    </r>
    <r>
      <rPr>
        <i/>
        <vertAlign val="superscript"/>
        <sz val="11"/>
        <color theme="1"/>
        <rFont val="Palatino Linotype"/>
        <family val="1"/>
      </rPr>
      <t>2</t>
    </r>
    <r>
      <rPr>
        <i/>
        <sz val="11"/>
        <color theme="1"/>
        <rFont val="Palatino Linotype"/>
        <family val="2"/>
      </rPr>
      <t>;
T</t>
    </r>
    <r>
      <rPr>
        <i/>
        <vertAlign val="subscript"/>
        <sz val="11"/>
        <color theme="1"/>
        <rFont val="Palatino Linotype"/>
        <family val="1"/>
      </rPr>
      <t>S</t>
    </r>
    <r>
      <rPr>
        <i/>
        <sz val="11"/>
        <color theme="1"/>
        <rFont val="Palatino Linotype"/>
        <family val="2"/>
      </rPr>
      <t xml:space="preserve"> = temperature of surface, °F;
T</t>
    </r>
    <r>
      <rPr>
        <i/>
        <vertAlign val="subscript"/>
        <sz val="11"/>
        <color theme="1"/>
        <rFont val="Palatino Linotype"/>
        <family val="1"/>
      </rPr>
      <t>RA</t>
    </r>
    <r>
      <rPr>
        <i/>
        <sz val="11"/>
        <color theme="1"/>
        <rFont val="Palatino Linotype"/>
        <family val="2"/>
      </rPr>
      <t xml:space="preserve"> = temperature of room, °F.
The percent jacket loss, L</t>
    </r>
    <r>
      <rPr>
        <i/>
        <vertAlign val="subscript"/>
        <sz val="11"/>
        <color theme="1"/>
        <rFont val="Palatino Linotype"/>
        <family val="1"/>
      </rPr>
      <t>J</t>
    </r>
    <r>
      <rPr>
        <i/>
        <sz val="11"/>
        <color theme="1"/>
        <rFont val="Palatino Linotype"/>
        <family val="2"/>
      </rPr>
      <t>, shall be the hourly heat loss through the jacket, H</t>
    </r>
    <r>
      <rPr>
        <i/>
        <vertAlign val="subscript"/>
        <sz val="11"/>
        <color theme="1"/>
        <rFont val="Palatino Linotype"/>
        <family val="1"/>
      </rPr>
      <t>S</t>
    </r>
    <r>
      <rPr>
        <i/>
        <sz val="11"/>
        <color theme="1"/>
        <rFont val="Palatino Linotype"/>
        <family val="2"/>
      </rPr>
      <t>, divided by the hourly input, Q</t>
    </r>
    <r>
      <rPr>
        <i/>
        <vertAlign val="subscript"/>
        <sz val="11"/>
        <color theme="1"/>
        <rFont val="Palatino Linotype"/>
        <family val="1"/>
      </rPr>
      <t>IN</t>
    </r>
    <r>
      <rPr>
        <i/>
        <sz val="11"/>
        <color theme="1"/>
        <rFont val="Palatino Linotype"/>
        <family val="2"/>
      </rPr>
      <t>, and multiplied by 100.</t>
    </r>
  </si>
  <si>
    <t>Emissivity of the Surface</t>
  </si>
  <si>
    <t>Maximum Surface Temperature</t>
  </si>
  <si>
    <t>Maximum Differential Condition Met?</t>
  </si>
  <si>
    <t>Minimum Surface Temperature</t>
  </si>
  <si>
    <r>
      <t>T</t>
    </r>
    <r>
      <rPr>
        <vertAlign val="subscript"/>
        <sz val="11"/>
        <color theme="1"/>
        <rFont val="Palatino Linotype"/>
        <family val="1"/>
      </rPr>
      <t>RA</t>
    </r>
  </si>
  <si>
    <t>Difference in Max Surface and Room Temperatures</t>
  </si>
  <si>
    <t>Jacket Loss Factor - Calculated from Test</t>
  </si>
  <si>
    <r>
      <rPr>
        <b/>
        <sz val="11"/>
        <color rgb="FF000000"/>
        <rFont val="Palatino Linotype"/>
        <family val="1"/>
      </rPr>
      <t>ASHRAE 103-1993, Section 8.6: Jacket Loss Measurement</t>
    </r>
    <r>
      <rPr>
        <i/>
        <sz val="11"/>
        <color indexed="8"/>
        <rFont val="Palatino Linotype"/>
        <family val="1"/>
      </rPr>
      <t xml:space="preserve">
For units intended to be installed outdoors or in an unheated space (including isolated combustion systems), the jacket loss may be assigned the value of 1% or a jacket loss test may be performed. Conduct the test at steady-state conditions according to 9.1. </t>
    </r>
  </si>
  <si>
    <r>
      <rPr>
        <b/>
        <sz val="11"/>
        <color rgb="FF000000"/>
        <rFont val="Palatino Linotype"/>
        <family val="1"/>
      </rPr>
      <t xml:space="preserve">ASHRAE 103-1993, Section 8.2.1.4: Electric Supply </t>
    </r>
    <r>
      <rPr>
        <i/>
        <sz val="11"/>
        <color indexed="8"/>
        <rFont val="Palatino Linotype"/>
        <family val="1"/>
      </rPr>
      <t xml:space="preserve">
Maintain the electrical supply to an auxiliary electric component of a furnace or boiler within 1% of the nameplate voltage for the duration of the test. If a dual voltage is used for nameplate voltage, maintain the electrical supply within 1% of the higher voltage.</t>
    </r>
  </si>
  <si>
    <t>Lab Location (City, State):</t>
  </si>
  <si>
    <r>
      <t>D</t>
    </r>
    <r>
      <rPr>
        <vertAlign val="subscript"/>
        <sz val="11"/>
        <color rgb="FF000000"/>
        <rFont val="Palatino Linotype"/>
        <family val="1"/>
      </rPr>
      <t>S,j</t>
    </r>
  </si>
  <si>
    <t>G4</t>
  </si>
  <si>
    <t>G1</t>
  </si>
  <si>
    <t>G2</t>
  </si>
  <si>
    <t>G3</t>
  </si>
  <si>
    <r>
      <t>G1</t>
    </r>
    <r>
      <rPr>
        <vertAlign val="subscript"/>
        <sz val="11"/>
        <color rgb="FF000000"/>
        <rFont val="Palatino Linotype"/>
        <family val="1"/>
      </rPr>
      <t>j</t>
    </r>
  </si>
  <si>
    <r>
      <t>G2</t>
    </r>
    <r>
      <rPr>
        <vertAlign val="subscript"/>
        <sz val="11"/>
        <color rgb="FF000000"/>
        <rFont val="Palatino Linotype"/>
        <family val="1"/>
      </rPr>
      <t>j</t>
    </r>
  </si>
  <si>
    <r>
      <t>G3</t>
    </r>
    <r>
      <rPr>
        <vertAlign val="subscript"/>
        <sz val="11"/>
        <color rgb="FF000000"/>
        <rFont val="Palatino Linotype"/>
        <family val="1"/>
      </rPr>
      <t>j</t>
    </r>
  </si>
  <si>
    <r>
      <t>G4</t>
    </r>
    <r>
      <rPr>
        <vertAlign val="subscript"/>
        <sz val="11"/>
        <color rgb="FF000000"/>
        <rFont val="Palatino Linotype"/>
        <family val="1"/>
      </rPr>
      <t>j</t>
    </r>
  </si>
  <si>
    <t>v0.2</t>
  </si>
  <si>
    <t>v0.3</t>
  </si>
  <si>
    <t>v1.0</t>
  </si>
  <si>
    <t>Step 11</t>
  </si>
  <si>
    <t>Calculations</t>
  </si>
  <si>
    <t>v1.1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</si>
</sst>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0000000E+00"/>
    <numFmt numFmtId="166" formatCode="0.000"/>
    <numFmt numFmtId="167" formatCode="0.0000"/>
    <numFmt numFmtId="168" formatCode="0.00000"/>
    <numFmt numFmtId="169" formatCode="0.000000"/>
    <numFmt numFmtId="170" formatCode="0.00000000"/>
  </numFmts>
  <fonts count="77" x14ac:knownFonts="1">
    <font>
      <sz val="11"/>
      <color theme="1"/>
      <name val="Palatino Linotype"/>
      <family val="2"/>
    </font>
    <font>
      <sz val="11"/>
      <color theme="1"/>
      <name val="Calibri"/>
      <family val="2"/>
      <scheme val="minor"/>
    </font>
    <font>
      <sz val="11"/>
      <color theme="1"/>
      <name val="Calibri"/>
      <family val="2"/>
      <scheme val="minor"/>
    </font>
    <font>
      <sz val="11"/>
      <color indexed="8"/>
      <name val="Palatino Linotype"/>
      <family val="1"/>
    </font>
    <font>
      <i/>
      <sz val="11"/>
      <color indexed="8"/>
      <name val="Palatino Linotype"/>
      <family val="1"/>
    </font>
    <font>
      <i/>
      <vertAlign val="subscript"/>
      <sz val="11"/>
      <color indexed="8"/>
      <name val="Palatino Linotype"/>
      <family val="1"/>
    </font>
    <font>
      <sz val="11"/>
      <name val="Palatino Linotype"/>
      <family val="1"/>
    </font>
    <font>
      <vertAlign val="subscript"/>
      <sz val="11"/>
      <color indexed="8"/>
      <name val="Palatino Linotype"/>
      <family val="1"/>
    </font>
    <font>
      <b/>
      <sz val="11"/>
      <color indexed="8"/>
      <name val="Palatino Linotype"/>
      <family val="1"/>
    </font>
    <font>
      <sz val="11"/>
      <color indexed="9"/>
      <name val="Palatino Linotype"/>
      <family val="1"/>
    </font>
    <font>
      <sz val="11"/>
      <name val="Palatino Linotype"/>
      <family val="2"/>
    </font>
    <font>
      <i/>
      <sz val="11"/>
      <color indexed="57"/>
      <name val="Palatino Linotype"/>
      <family val="2"/>
    </font>
    <font>
      <sz val="10"/>
      <name val="Arial"/>
      <family val="2"/>
    </font>
    <font>
      <b/>
      <sz val="11"/>
      <name val="Palatino Linotype"/>
      <family val="1"/>
    </font>
    <font>
      <b/>
      <sz val="11"/>
      <name val="Palatino Linotype"/>
      <family val="2"/>
    </font>
    <font>
      <sz val="11"/>
      <color indexed="8"/>
      <name val="Palatino Linotype"/>
      <family val="2"/>
    </font>
    <font>
      <b/>
      <sz val="11"/>
      <color indexed="8"/>
      <name val="Palatino Linotype"/>
      <family val="2"/>
    </font>
    <font>
      <sz val="11"/>
      <color indexed="8"/>
      <name val="Palatino Linotype"/>
      <family val="1"/>
    </font>
    <font>
      <u/>
      <sz val="11"/>
      <color indexed="12"/>
      <name val="Palatino Linotype"/>
      <family val="1"/>
    </font>
    <font>
      <b/>
      <sz val="14"/>
      <name val="Palatino Linotype"/>
      <family val="1"/>
    </font>
    <font>
      <b/>
      <sz val="12"/>
      <name val="Palatino Linotype"/>
      <family val="1"/>
    </font>
    <font>
      <u/>
      <sz val="12"/>
      <color indexed="12"/>
      <name val="Palatino Linotype"/>
      <family val="1"/>
    </font>
    <font>
      <sz val="12"/>
      <name val="Palatino Linotype"/>
      <family val="1"/>
    </font>
    <font>
      <b/>
      <sz val="11"/>
      <color indexed="9"/>
      <name val="Palatino Linotype"/>
      <family val="1"/>
    </font>
    <font>
      <i/>
      <sz val="11"/>
      <color indexed="10"/>
      <name val="Palatino Linotype"/>
      <family val="1"/>
    </font>
    <font>
      <strike/>
      <sz val="11"/>
      <color indexed="8"/>
      <name val="Palatino Linotype"/>
      <family val="1"/>
    </font>
    <font>
      <sz val="11"/>
      <color indexed="30"/>
      <name val="Palatino Linotype"/>
      <family val="1"/>
    </font>
    <font>
      <b/>
      <i/>
      <sz val="11"/>
      <color indexed="8"/>
      <name val="Palatino Linotype"/>
      <family val="1"/>
    </font>
    <font>
      <b/>
      <i/>
      <vertAlign val="subscript"/>
      <sz val="11"/>
      <color indexed="8"/>
      <name val="Palatino Linotype"/>
      <family val="1"/>
    </font>
    <font>
      <sz val="8"/>
      <name val="Palatino Linotype"/>
      <family val="2"/>
    </font>
    <font>
      <sz val="11"/>
      <color theme="1"/>
      <name val="Palatino Linotype"/>
      <family val="2"/>
    </font>
    <font>
      <sz val="11"/>
      <color theme="1"/>
      <name val="Calibri"/>
      <family val="2"/>
      <scheme val="minor"/>
    </font>
    <font>
      <sz val="11"/>
      <color theme="0"/>
      <name val="Palatino Linotype"/>
      <family val="2"/>
    </font>
    <font>
      <sz val="11"/>
      <color theme="0"/>
      <name val="Calibri"/>
      <family val="2"/>
      <scheme val="minor"/>
    </font>
    <font>
      <sz val="11"/>
      <color theme="0"/>
      <name val="Palatino Linotype"/>
      <family val="1"/>
    </font>
    <font>
      <sz val="11"/>
      <color rgb="FF9C0006"/>
      <name val="Palatino Linotype"/>
      <family val="2"/>
    </font>
    <font>
      <b/>
      <sz val="11"/>
      <color rgb="FFFA7D00"/>
      <name val="Palatino Linotype"/>
      <family val="2"/>
    </font>
    <font>
      <sz val="11"/>
      <color theme="1"/>
      <name val="Palatino Linotype"/>
      <family val="1"/>
    </font>
    <font>
      <i/>
      <sz val="11"/>
      <color rgb="FF7F7F7F"/>
      <name val="Palatino Linotype"/>
      <family val="2"/>
    </font>
    <font>
      <u/>
      <sz val="11"/>
      <color theme="10"/>
      <name val="Calibri"/>
      <family val="2"/>
    </font>
    <font>
      <u/>
      <sz val="11"/>
      <color theme="10"/>
      <name val="Palatino Linotype"/>
      <family val="2"/>
    </font>
    <font>
      <sz val="11"/>
      <color rgb="FF3F3F76"/>
      <name val="Palatino Linotype"/>
      <family val="2"/>
    </font>
    <font>
      <sz val="11"/>
      <color rgb="FF9C6500"/>
      <name val="Palatino Linotype"/>
      <family val="2"/>
    </font>
    <font>
      <sz val="11"/>
      <color rgb="FF9C6500"/>
      <name val="Calibri"/>
      <family val="2"/>
      <scheme val="minor"/>
    </font>
    <font>
      <b/>
      <sz val="11"/>
      <color theme="9" tint="-0.499984740745262"/>
      <name val="Palatino Linotype"/>
      <family val="2"/>
    </font>
    <font>
      <sz val="11"/>
      <color rgb="FFFF0000"/>
      <name val="Palatino Linotype"/>
      <family val="1"/>
    </font>
    <font>
      <b/>
      <sz val="11"/>
      <color theme="1"/>
      <name val="Palatino Linotype"/>
      <family val="1"/>
    </font>
    <font>
      <i/>
      <sz val="11"/>
      <color theme="1"/>
      <name val="Palatino Linotype"/>
      <family val="1"/>
    </font>
    <font>
      <u/>
      <sz val="11"/>
      <color theme="10"/>
      <name val="Palatino Linotype"/>
      <family val="1"/>
    </font>
    <font>
      <sz val="11"/>
      <color rgb="FF000000"/>
      <name val="Palatino Linotype"/>
      <family val="2"/>
    </font>
    <font>
      <b/>
      <sz val="14"/>
      <color theme="1"/>
      <name val="Palatino Linotype"/>
      <family val="1"/>
    </font>
    <font>
      <sz val="11"/>
      <color indexed="8"/>
      <name val="Calibri"/>
      <family val="2"/>
    </font>
    <font>
      <vertAlign val="superscript"/>
      <sz val="11"/>
      <color indexed="8"/>
      <name val="Palatino Linotype"/>
      <family val="1"/>
    </font>
    <font>
      <b/>
      <vertAlign val="subscript"/>
      <sz val="11"/>
      <color rgb="FF000000"/>
      <name val="Palatino Linotype"/>
      <family val="1"/>
    </font>
    <font>
      <i/>
      <vertAlign val="subscript"/>
      <sz val="11"/>
      <color rgb="FF000000"/>
      <name val="Palatino Linotype"/>
      <family val="1"/>
    </font>
    <font>
      <b/>
      <i/>
      <sz val="11"/>
      <color rgb="FF000000"/>
      <name val="Palatino Linotype"/>
      <family val="1"/>
    </font>
    <font>
      <b/>
      <sz val="11"/>
      <color rgb="FF000000"/>
      <name val="Palatino Linotype"/>
      <family val="1"/>
    </font>
    <font>
      <sz val="11"/>
      <color rgb="FF000000"/>
      <name val="Palatino Linotype"/>
      <family val="1"/>
    </font>
    <font>
      <b/>
      <i/>
      <sz val="11"/>
      <name val="Palatino Linotype"/>
      <family val="1"/>
    </font>
    <font>
      <i/>
      <sz val="11"/>
      <name val="Palatino Linotype"/>
      <family val="1"/>
    </font>
    <font>
      <vertAlign val="subscript"/>
      <sz val="11"/>
      <color rgb="FF000000"/>
      <name val="Palatino Linotype"/>
      <family val="1"/>
    </font>
    <font>
      <b/>
      <sz val="11"/>
      <color theme="0"/>
      <name val="Palatino Linotype"/>
      <family val="1"/>
    </font>
    <font>
      <vertAlign val="subscript"/>
      <sz val="11"/>
      <color theme="1"/>
      <name val="Palatino Linotype"/>
      <family val="1"/>
    </font>
    <font>
      <b/>
      <vertAlign val="subscript"/>
      <sz val="11"/>
      <color theme="1"/>
      <name val="Palatino Linotype"/>
      <family val="1"/>
    </font>
    <font>
      <b/>
      <vertAlign val="subscript"/>
      <sz val="11"/>
      <name val="Palatino Linotype"/>
      <family val="1"/>
    </font>
    <font>
      <vertAlign val="superscript"/>
      <sz val="11"/>
      <color rgb="FF000000"/>
      <name val="Palatino Linotype"/>
      <family val="1"/>
    </font>
    <font>
      <sz val="8.8000000000000007"/>
      <color indexed="8"/>
      <name val="Palatino Linotype"/>
      <family val="1"/>
    </font>
    <font>
      <vertAlign val="subscript"/>
      <sz val="9.35"/>
      <color rgb="FF000000"/>
      <name val="Palatino Linotype"/>
      <family val="1"/>
    </font>
    <font>
      <sz val="11"/>
      <color theme="1"/>
      <name val="Calibri"/>
      <family val="2"/>
    </font>
    <font>
      <i/>
      <vertAlign val="subscript"/>
      <sz val="11"/>
      <name val="Palatino Linotype"/>
      <family val="1"/>
    </font>
    <font>
      <i/>
      <vertAlign val="superscript"/>
      <sz val="11"/>
      <name val="Palatino Linotype"/>
      <family val="1"/>
    </font>
    <font>
      <sz val="11"/>
      <name val="Calibri"/>
      <family val="2"/>
    </font>
    <font>
      <i/>
      <vertAlign val="subscript"/>
      <sz val="11"/>
      <color theme="1"/>
      <name val="Palatino Linotype"/>
      <family val="1"/>
    </font>
    <font>
      <i/>
      <sz val="11"/>
      <color theme="1"/>
      <name val="Palatino Linotype"/>
      <family val="2"/>
    </font>
    <font>
      <i/>
      <sz val="11"/>
      <color theme="1"/>
      <name val="Calibri"/>
      <family val="2"/>
    </font>
    <font>
      <sz val="11"/>
      <color theme="0" tint="-4.9989318521683403E-2"/>
      <name val="Palatino Linotype"/>
      <family val="1"/>
    </font>
    <font>
      <i/>
      <vertAlign val="superscript"/>
      <sz val="11"/>
      <color theme="1"/>
      <name val="Palatino Linotype"/>
      <family val="1"/>
    </font>
  </fonts>
  <fills count="33">
    <fill>
      <patternFill patternType="none"/>
    </fill>
    <fill>
      <patternFill patternType="gray125"/>
    </fill>
    <fill>
      <patternFill patternType="solid">
        <fgColor indexed="18"/>
        <bgColor indexed="64"/>
      </patternFill>
    </fill>
    <fill>
      <patternFill patternType="solid">
        <fgColor indexed="11"/>
        <bgColor indexed="64"/>
      </patternFill>
    </fill>
    <fill>
      <patternFill patternType="solid">
        <fgColor indexed="55"/>
        <bgColor indexed="64"/>
      </patternFill>
    </fill>
    <fill>
      <patternFill patternType="solid">
        <fgColor indexed="44"/>
        <bgColor indexed="64"/>
      </patternFill>
    </fill>
    <fill>
      <patternFill patternType="solid">
        <fgColor indexed="31"/>
        <bgColor indexed="64"/>
      </patternFill>
    </fill>
    <fill>
      <patternFill patternType="solid">
        <fgColor indexed="13"/>
        <bgColor indexed="64"/>
      </patternFill>
    </fill>
    <fill>
      <patternFill patternType="solid">
        <fgColor indexed="16"/>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theme="9"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rgb="FFFFC7CE"/>
      </patternFill>
    </fill>
    <fill>
      <patternFill patternType="solid">
        <fgColor theme="9" tint="0.79998168889431442"/>
        <bgColor indexed="64"/>
      </patternFill>
    </fill>
    <fill>
      <patternFill patternType="solid">
        <fgColor theme="0" tint="-0.14996795556505021"/>
        <bgColor indexed="64"/>
      </patternFill>
    </fill>
    <fill>
      <patternFill patternType="solid">
        <fgColor theme="0" tint="-0.24994659260841701"/>
        <bgColor indexed="64"/>
      </patternFill>
    </fill>
    <fill>
      <patternFill patternType="solid">
        <fgColor theme="4" tint="0.59996337778862885"/>
        <bgColor indexed="64"/>
      </patternFill>
    </fill>
    <fill>
      <patternFill patternType="solid">
        <fgColor rgb="FFFFEB9C"/>
      </patternFill>
    </fill>
    <fill>
      <patternFill patternType="solid">
        <fgColor rgb="FFFFFF00"/>
        <bgColor indexed="64"/>
      </patternFill>
    </fill>
    <fill>
      <patternFill patternType="solid">
        <fgColor rgb="FF99CCFF"/>
        <bgColor indexed="64"/>
      </patternFill>
    </fill>
    <fill>
      <patternFill patternType="solid">
        <fgColor theme="0" tint="-0.249977111117893"/>
        <bgColor indexed="64"/>
      </patternFill>
    </fill>
    <fill>
      <patternFill patternType="solid">
        <fgColor rgb="FF800000"/>
        <bgColor indexed="64"/>
      </patternFill>
    </fill>
    <fill>
      <patternFill patternType="solid">
        <fgColor rgb="FF0066CC"/>
        <bgColor indexed="64"/>
      </patternFill>
    </fill>
    <fill>
      <patternFill patternType="lightUp">
        <fgColor auto="1"/>
        <bgColor rgb="FFD8D8D8"/>
      </patternFill>
    </fill>
    <fill>
      <patternFill patternType="solid">
        <fgColor theme="1"/>
        <bgColor indexed="64"/>
      </patternFill>
    </fill>
    <fill>
      <patternFill patternType="solid">
        <fgColor theme="9" tint="-0.249977111117893"/>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4506668294322"/>
        <bgColor indexed="64"/>
      </patternFill>
    </fill>
  </fills>
  <borders count="26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medium">
        <color indexed="64"/>
      </left>
      <right/>
      <top style="thin">
        <color indexed="55"/>
      </top>
      <bottom style="thin">
        <color indexed="55"/>
      </bottom>
      <diagonal/>
    </border>
    <border>
      <left style="thin">
        <color indexed="55"/>
      </left>
      <right style="medium">
        <color indexed="64"/>
      </right>
      <top style="thin">
        <color indexed="55"/>
      </top>
      <bottom style="thin">
        <color indexed="55"/>
      </bottom>
      <diagonal/>
    </border>
    <border>
      <left style="medium">
        <color indexed="64"/>
      </left>
      <right/>
      <top style="thin">
        <color indexed="55"/>
      </top>
      <bottom style="medium">
        <color indexed="64"/>
      </bottom>
      <diagonal/>
    </border>
    <border>
      <left style="thin">
        <color indexed="55"/>
      </left>
      <right style="medium">
        <color indexed="64"/>
      </right>
      <top style="thin">
        <color indexed="55"/>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55"/>
      </bottom>
      <diagonal/>
    </border>
    <border>
      <left style="thin">
        <color indexed="64"/>
      </left>
      <right style="medium">
        <color indexed="64"/>
      </right>
      <top/>
      <bottom style="thin">
        <color indexed="55"/>
      </bottom>
      <diagonal/>
    </border>
    <border>
      <left style="thin">
        <color indexed="64"/>
      </left>
      <right style="medium">
        <color indexed="64"/>
      </right>
      <top style="thin">
        <color indexed="55"/>
      </top>
      <bottom style="thin">
        <color indexed="55"/>
      </bottom>
      <diagonal/>
    </border>
    <border>
      <left style="thin">
        <color indexed="64"/>
      </left>
      <right style="medium">
        <color indexed="64"/>
      </right>
      <top style="thin">
        <color indexed="55"/>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55"/>
      </top>
      <bottom style="thin">
        <color indexed="55"/>
      </bottom>
      <diagonal/>
    </border>
    <border>
      <left style="medium">
        <color indexed="64"/>
      </left>
      <right style="thin">
        <color indexed="64"/>
      </right>
      <top style="thin">
        <color indexed="55"/>
      </top>
      <bottom style="medium">
        <color indexed="64"/>
      </bottom>
      <diagonal/>
    </border>
    <border>
      <left style="medium">
        <color indexed="64"/>
      </left>
      <right/>
      <top/>
      <bottom/>
      <diagonal/>
    </border>
    <border>
      <left style="thin">
        <color indexed="55"/>
      </left>
      <right style="medium">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diagonal/>
    </border>
    <border>
      <left style="medium">
        <color indexed="64"/>
      </left>
      <right style="thin">
        <color indexed="64"/>
      </right>
      <top style="thin">
        <color indexed="55"/>
      </top>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22"/>
      </bottom>
      <diagonal/>
    </border>
    <border>
      <left/>
      <right style="medium">
        <color indexed="64"/>
      </right>
      <top style="medium">
        <color indexed="64"/>
      </top>
      <bottom style="thin">
        <color indexed="22"/>
      </bottom>
      <diagonal/>
    </border>
    <border>
      <left/>
      <right style="medium">
        <color indexed="64"/>
      </right>
      <top style="thin">
        <color indexed="22"/>
      </top>
      <bottom style="thin">
        <color indexed="22"/>
      </bottom>
      <diagonal/>
    </border>
    <border>
      <left/>
      <right style="medium">
        <color indexed="64"/>
      </right>
      <top style="thin">
        <color indexed="22"/>
      </top>
      <bottom style="medium">
        <color indexed="64"/>
      </bottom>
      <diagonal/>
    </border>
    <border>
      <left/>
      <right style="medium">
        <color indexed="64"/>
      </right>
      <top/>
      <bottom style="medium">
        <color indexed="64"/>
      </bottom>
      <diagonal/>
    </border>
    <border>
      <left style="thin">
        <color indexed="55"/>
      </left>
      <right style="thin">
        <color indexed="55"/>
      </right>
      <top style="thin">
        <color indexed="55"/>
      </top>
      <bottom style="thin">
        <color indexed="55"/>
      </bottom>
      <diagonal/>
    </border>
    <border>
      <left style="thin">
        <color indexed="64"/>
      </left>
      <right style="thin">
        <color indexed="55"/>
      </right>
      <top style="thin">
        <color indexed="64"/>
      </top>
      <bottom style="thin">
        <color indexed="55"/>
      </bottom>
      <diagonal/>
    </border>
    <border>
      <left style="thin">
        <color indexed="64"/>
      </left>
      <right style="thin">
        <color indexed="55"/>
      </right>
      <top style="thin">
        <color indexed="55"/>
      </top>
      <bottom style="thin">
        <color indexed="55"/>
      </bottom>
      <diagonal/>
    </border>
    <border>
      <left style="thin">
        <color indexed="64"/>
      </left>
      <right style="thin">
        <color indexed="55"/>
      </right>
      <top style="thin">
        <color indexed="55"/>
      </top>
      <bottom style="medium">
        <color indexed="64"/>
      </bottom>
      <diagonal/>
    </border>
    <border>
      <left style="medium">
        <color indexed="64"/>
      </left>
      <right/>
      <top style="thin">
        <color indexed="22"/>
      </top>
      <bottom style="thin">
        <color indexed="22"/>
      </bottom>
      <diagonal/>
    </border>
    <border>
      <left style="thin">
        <color indexed="55"/>
      </left>
      <right style="medium">
        <color indexed="64"/>
      </right>
      <top/>
      <bottom style="thin">
        <color indexed="55"/>
      </bottom>
      <diagonal/>
    </border>
    <border>
      <left style="medium">
        <color indexed="64"/>
      </left>
      <right style="thin">
        <color indexed="64"/>
      </right>
      <top/>
      <bottom style="thin">
        <color indexed="55"/>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55"/>
      </right>
      <top style="thin">
        <color indexed="55"/>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style="thin">
        <color indexed="64"/>
      </right>
      <top style="medium">
        <color indexed="64"/>
      </top>
      <bottom style="thin">
        <color indexed="64"/>
      </bottom>
      <diagonal/>
    </border>
    <border>
      <left style="medium">
        <color indexed="64"/>
      </left>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medium">
        <color indexed="64"/>
      </left>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diagonal/>
    </border>
    <border>
      <left style="thin">
        <color theme="0" tint="-0.24994659260841701"/>
      </left>
      <right style="medium">
        <color indexed="64"/>
      </right>
      <top style="thin">
        <color theme="0" tint="-0.24994659260841701"/>
      </top>
      <bottom/>
      <diagonal/>
    </border>
    <border>
      <left style="medium">
        <color indexed="64"/>
      </left>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medium">
        <color indexed="64"/>
      </bottom>
      <diagonal/>
    </border>
    <border>
      <left style="medium">
        <color indexed="64"/>
      </left>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indexed="64"/>
      </left>
      <right/>
      <top/>
      <bottom/>
      <diagonal/>
    </border>
    <border>
      <left style="medium">
        <color indexed="64"/>
      </left>
      <right style="medium">
        <color indexed="64"/>
      </right>
      <top style="thin">
        <color indexed="64"/>
      </top>
      <bottom style="thin">
        <color indexed="64"/>
      </bottom>
      <diagonal/>
    </border>
    <border>
      <left/>
      <right style="medium">
        <color indexed="64"/>
      </right>
      <top/>
      <bottom style="thin">
        <color auto="1"/>
      </bottom>
      <diagonal/>
    </border>
    <border>
      <left style="thin">
        <color indexed="64"/>
      </left>
      <right style="medium">
        <color indexed="64"/>
      </right>
      <top style="thin">
        <color indexed="55"/>
      </top>
      <bottom/>
      <diagonal/>
    </border>
    <border>
      <left/>
      <right style="thin">
        <color indexed="64"/>
      </right>
      <top/>
      <bottom style="medium">
        <color indexed="64"/>
      </bottom>
      <diagonal/>
    </border>
    <border>
      <left/>
      <right style="thin">
        <color indexed="64"/>
      </right>
      <top style="thin">
        <color indexed="55"/>
      </top>
      <bottom style="thin">
        <color indexed="55"/>
      </bottom>
      <diagonal/>
    </border>
    <border>
      <left style="medium">
        <color indexed="64"/>
      </left>
      <right style="thin">
        <color indexed="64"/>
      </right>
      <top/>
      <bottom/>
      <diagonal/>
    </border>
    <border>
      <left/>
      <right style="thin">
        <color indexed="64"/>
      </right>
      <top/>
      <bottom/>
      <diagonal/>
    </border>
    <border>
      <left style="medium">
        <color indexed="64"/>
      </left>
      <right style="medium">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medium">
        <color indexed="64"/>
      </top>
      <bottom style="thin">
        <color indexed="55"/>
      </bottom>
      <diagonal/>
    </border>
    <border>
      <left style="medium">
        <color indexed="64"/>
      </left>
      <right style="medium">
        <color indexed="64"/>
      </right>
      <top style="thin">
        <color indexed="64"/>
      </top>
      <bottom/>
      <diagonal/>
    </border>
    <border>
      <left style="medium">
        <color indexed="64"/>
      </left>
      <right style="thin">
        <color indexed="64"/>
      </right>
      <top/>
      <bottom style="thin">
        <color indexed="55"/>
      </bottom>
      <diagonal/>
    </border>
    <border>
      <left style="medium">
        <color indexed="64"/>
      </left>
      <right style="thin">
        <color indexed="64"/>
      </right>
      <top style="thin">
        <color indexed="55"/>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medium">
        <color indexed="64"/>
      </left>
      <right style="thin">
        <color indexed="64"/>
      </right>
      <top/>
      <bottom style="thin">
        <color theme="0" tint="-0.34998626667073579"/>
      </bottom>
      <diagonal/>
    </border>
    <border>
      <left style="thin">
        <color indexed="64"/>
      </left>
      <right style="thin">
        <color indexed="55"/>
      </right>
      <top/>
      <bottom style="thin">
        <color indexed="55"/>
      </bottom>
      <diagonal/>
    </border>
    <border>
      <left style="thin">
        <color indexed="64"/>
      </left>
      <right style="thin">
        <color indexed="55"/>
      </right>
      <top style="thin">
        <color indexed="55"/>
      </top>
      <bottom style="thin">
        <color theme="0" tint="-0.34998626667073579"/>
      </bottom>
      <diagonal/>
    </border>
    <border>
      <left style="medium">
        <color indexed="64"/>
      </left>
      <right/>
      <top style="thin">
        <color theme="0" tint="-0.34998626667073579"/>
      </top>
      <bottom/>
      <diagonal/>
    </border>
    <border>
      <left style="medium">
        <color indexed="64"/>
      </left>
      <right style="thin">
        <color indexed="64"/>
      </right>
      <top style="thin">
        <color indexed="64"/>
      </top>
      <bottom style="thin">
        <color theme="0" tint="-0.34998626667073579"/>
      </bottom>
      <diagonal/>
    </border>
    <border>
      <left style="medium">
        <color indexed="64"/>
      </left>
      <right style="thin">
        <color indexed="64"/>
      </right>
      <top style="thin">
        <color theme="0" tint="-0.34998626667073579"/>
      </top>
      <bottom/>
      <diagonal/>
    </border>
    <border>
      <left style="medium">
        <color indexed="64"/>
      </left>
      <right style="thin">
        <color indexed="64"/>
      </right>
      <top style="thin">
        <color theme="0" tint="-0.34998626667073579"/>
      </top>
      <bottom style="medium">
        <color indexed="64"/>
      </bottom>
      <diagonal/>
    </border>
    <border>
      <left style="medium">
        <color indexed="64"/>
      </left>
      <right style="thin">
        <color indexed="64"/>
      </right>
      <top style="thin">
        <color indexed="55"/>
      </top>
      <bottom style="thin">
        <color indexed="64"/>
      </bottom>
      <diagonal/>
    </border>
    <border>
      <left style="thin">
        <color indexed="64"/>
      </left>
      <right style="thin">
        <color indexed="55"/>
      </right>
      <top style="thin">
        <color indexed="55"/>
      </top>
      <bottom style="thin">
        <color indexed="64"/>
      </bottom>
      <diagonal/>
    </border>
    <border>
      <left/>
      <right style="medium">
        <color indexed="64"/>
      </right>
      <top/>
      <bottom style="thin">
        <color indexed="64"/>
      </bottom>
      <diagonal/>
    </border>
    <border>
      <left style="thin">
        <color indexed="64"/>
      </left>
      <right style="thin">
        <color indexed="55"/>
      </right>
      <top style="thin">
        <color theme="0" tint="-0.34998626667073579"/>
      </top>
      <bottom style="thin">
        <color indexed="64"/>
      </bottom>
      <diagonal/>
    </border>
    <border>
      <left/>
      <right/>
      <top style="medium">
        <color indexed="64"/>
      </top>
      <bottom style="thin">
        <color indexed="64"/>
      </bottom>
      <diagonal/>
    </border>
    <border>
      <left style="medium">
        <color indexed="64"/>
      </left>
      <right/>
      <top/>
      <bottom style="thin">
        <color indexed="55"/>
      </bottom>
      <diagonal/>
    </border>
    <border>
      <left style="medium">
        <color indexed="64"/>
      </left>
      <right/>
      <top style="thin">
        <color indexed="55"/>
      </top>
      <bottom/>
      <diagonal/>
    </border>
    <border>
      <left style="medium">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diagonal/>
    </border>
    <border>
      <left style="medium">
        <color indexed="64"/>
      </left>
      <right/>
      <top style="thin">
        <color theme="0" tint="-0.34998626667073579"/>
      </top>
      <bottom style="medium">
        <color indexed="64"/>
      </bottom>
      <diagonal/>
    </border>
    <border>
      <left/>
      <right style="thin">
        <color indexed="64"/>
      </right>
      <top style="thin">
        <color theme="0" tint="-0.34998626667073579"/>
      </top>
      <bottom style="medium">
        <color indexed="64"/>
      </bottom>
      <diagonal/>
    </border>
    <border>
      <left style="thin">
        <color indexed="55"/>
      </left>
      <right style="thin">
        <color indexed="55"/>
      </right>
      <top/>
      <bottom style="thin">
        <color indexed="55"/>
      </bottom>
      <diagonal/>
    </border>
    <border>
      <left style="thin">
        <color indexed="64"/>
      </left>
      <right style="medium">
        <color indexed="64"/>
      </right>
      <top/>
      <bottom style="thin">
        <color indexed="55"/>
      </bottom>
      <diagonal/>
    </border>
    <border>
      <left/>
      <right style="thin">
        <color indexed="64"/>
      </right>
      <top/>
      <bottom style="thin">
        <color indexed="64"/>
      </bottom>
      <diagonal/>
    </border>
    <border>
      <left style="thin">
        <color indexed="64"/>
      </left>
      <right style="medium">
        <color indexed="64"/>
      </right>
      <top style="thin">
        <color theme="0" tint="-0.34998626667073579"/>
      </top>
      <bottom style="thin">
        <color indexed="55"/>
      </bottom>
      <diagonal/>
    </border>
    <border>
      <left/>
      <right style="thin">
        <color indexed="64"/>
      </right>
      <top style="thin">
        <color indexed="64"/>
      </top>
      <bottom/>
      <diagonal/>
    </border>
    <border>
      <left/>
      <right style="thin">
        <color indexed="55"/>
      </right>
      <top/>
      <bottom style="medium">
        <color indexed="64"/>
      </bottom>
      <diagonal/>
    </border>
    <border>
      <left/>
      <right style="thin">
        <color indexed="55"/>
      </right>
      <top style="thin">
        <color indexed="55"/>
      </top>
      <bottom/>
      <diagonal/>
    </border>
    <border>
      <left style="medium">
        <color indexed="64"/>
      </left>
      <right style="thin">
        <color indexed="64"/>
      </right>
      <top/>
      <bottom style="medium">
        <color indexed="64"/>
      </bottom>
      <diagonal/>
    </border>
    <border>
      <left style="thin">
        <color indexed="64"/>
      </left>
      <right style="thin">
        <color indexed="55"/>
      </right>
      <top style="thin">
        <color theme="0" tint="-0.34998626667073579"/>
      </top>
      <bottom style="medium">
        <color indexed="64"/>
      </bottom>
      <diagonal/>
    </border>
    <border>
      <left/>
      <right style="medium">
        <color indexed="64"/>
      </right>
      <top style="thin">
        <color indexed="55"/>
      </top>
      <bottom style="thin">
        <color indexed="55"/>
      </bottom>
      <diagonal/>
    </border>
    <border>
      <left style="thin">
        <color indexed="64"/>
      </left>
      <right style="thin">
        <color indexed="64"/>
      </right>
      <top style="medium">
        <color indexed="64"/>
      </top>
      <bottom style="medium">
        <color indexed="64"/>
      </bottom>
      <diagonal/>
    </border>
    <border>
      <left style="thin">
        <color indexed="55"/>
      </left>
      <right/>
      <top/>
      <bottom style="thin">
        <color indexed="55"/>
      </bottom>
      <diagonal/>
    </border>
    <border>
      <left/>
      <right/>
      <top/>
      <bottom style="thin">
        <color indexed="64"/>
      </bottom>
      <diagonal/>
    </border>
    <border>
      <left style="thin">
        <color indexed="55"/>
      </left>
      <right/>
      <top style="thin">
        <color indexed="55"/>
      </top>
      <bottom style="thin">
        <color indexed="55"/>
      </bottom>
      <diagonal/>
    </border>
    <border>
      <left style="medium">
        <color indexed="64"/>
      </left>
      <right style="thin">
        <color indexed="55"/>
      </right>
      <top/>
      <bottom style="thin">
        <color indexed="55"/>
      </bottom>
      <diagonal/>
    </border>
    <border>
      <left style="medium">
        <color indexed="64"/>
      </left>
      <right style="thin">
        <color indexed="55"/>
      </right>
      <top style="thin">
        <color indexed="55"/>
      </top>
      <bottom style="thin">
        <color indexed="55"/>
      </bottom>
      <diagonal/>
    </border>
    <border>
      <left style="medium">
        <color indexed="64"/>
      </left>
      <right style="thin">
        <color indexed="55"/>
      </right>
      <top style="thin">
        <color indexed="55"/>
      </top>
      <bottom style="medium">
        <color indexed="64"/>
      </bottom>
      <diagonal/>
    </border>
    <border>
      <left style="thin">
        <color indexed="55"/>
      </left>
      <right style="thin">
        <color indexed="55"/>
      </right>
      <top style="thin">
        <color indexed="55"/>
      </top>
      <bottom style="medium">
        <color indexed="64"/>
      </bottom>
      <diagonal/>
    </border>
    <border>
      <left style="thin">
        <color indexed="55"/>
      </left>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55"/>
      </right>
      <top style="thin">
        <color theme="0" tint="-0.499984740745262"/>
      </top>
      <bottom style="medium">
        <color indexed="64"/>
      </bottom>
      <diagonal/>
    </border>
    <border>
      <left style="medium">
        <color indexed="64"/>
      </left>
      <right style="thin">
        <color indexed="64"/>
      </right>
      <top style="thin">
        <color theme="0" tint="-0.499984740745262"/>
      </top>
      <bottom style="medium">
        <color indexed="64"/>
      </bottom>
      <diagonal/>
    </border>
    <border>
      <left style="medium">
        <color indexed="64"/>
      </left>
      <right style="thin">
        <color indexed="64"/>
      </right>
      <top style="thin">
        <color theme="0" tint="-0.499984740745262"/>
      </top>
      <bottom style="thin">
        <color theme="0" tint="-0.499984740745262"/>
      </bottom>
      <diagonal/>
    </border>
    <border>
      <left style="medium">
        <color indexed="64"/>
      </left>
      <right style="thin">
        <color indexed="64"/>
      </right>
      <top style="thin">
        <color indexed="64"/>
      </top>
      <bottom style="thin">
        <color theme="0" tint="-0.499984740745262"/>
      </bottom>
      <diagonal/>
    </border>
    <border>
      <left style="thin">
        <color theme="0" tint="-0.499984740745262"/>
      </left>
      <right style="medium">
        <color indexed="64"/>
      </right>
      <top style="thin">
        <color indexed="64"/>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thin">
        <color indexed="64"/>
      </left>
      <right/>
      <top style="thin">
        <color theme="0" tint="-0.499984740745262"/>
      </top>
      <bottom/>
      <diagonal/>
    </border>
    <border>
      <left style="thin">
        <color indexed="64"/>
      </left>
      <right/>
      <top style="thin">
        <color theme="0" tint="-0.499984740745262"/>
      </top>
      <bottom style="thin">
        <color theme="0" tint="-0.34998626667073579"/>
      </bottom>
      <diagonal/>
    </border>
    <border>
      <left style="thin">
        <color indexed="64"/>
      </left>
      <right/>
      <top style="thin">
        <color theme="0" tint="-0.34998626667073579"/>
      </top>
      <bottom/>
      <diagonal/>
    </border>
    <border>
      <left style="thin">
        <color indexed="64"/>
      </left>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medium">
        <color indexed="64"/>
      </bottom>
      <diagonal/>
    </border>
    <border>
      <left style="thin">
        <color indexed="64"/>
      </left>
      <right/>
      <top style="thin">
        <color theme="0" tint="-0.499984740745262"/>
      </top>
      <bottom style="medium">
        <color indexed="64"/>
      </bottom>
      <diagonal/>
    </border>
    <border>
      <left style="thin">
        <color indexed="64"/>
      </left>
      <right/>
      <top style="thin">
        <color theme="0" tint="-0.499984740745262"/>
      </top>
      <bottom style="thin">
        <color indexed="64"/>
      </bottom>
      <diagonal/>
    </border>
    <border>
      <left/>
      <right/>
      <top/>
      <bottom style="thin">
        <color indexed="55"/>
      </bottom>
      <diagonal/>
    </border>
    <border>
      <left style="thin">
        <color theme="0" tint="-0.499984740745262"/>
      </left>
      <right style="thin">
        <color indexed="64"/>
      </right>
      <top style="thin">
        <color indexed="55"/>
      </top>
      <bottom style="thin">
        <color indexed="55"/>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theme="0" tint="-0.499984740745262"/>
      </top>
      <bottom style="thin">
        <color indexed="64"/>
      </bottom>
      <diagonal/>
    </border>
    <border>
      <left style="medium">
        <color indexed="64"/>
      </left>
      <right style="thin">
        <color indexed="64"/>
      </right>
      <top/>
      <bottom style="thin">
        <color theme="0" tint="-0.499984740745262"/>
      </bottom>
      <diagonal/>
    </border>
    <border>
      <left style="thin">
        <color indexed="64"/>
      </left>
      <right style="thin">
        <color indexed="55"/>
      </right>
      <top style="thin">
        <color indexed="64"/>
      </top>
      <bottom style="medium">
        <color indexed="64"/>
      </bottom>
      <diagonal/>
    </border>
    <border>
      <left style="thin">
        <color indexed="64"/>
      </left>
      <right style="thin">
        <color indexed="55"/>
      </right>
      <top/>
      <bottom style="medium">
        <color indexed="64"/>
      </bottom>
      <diagonal/>
    </border>
    <border>
      <left/>
      <right style="thin">
        <color theme="0" tint="-0.34998626667073579"/>
      </right>
      <top style="thin">
        <color theme="0" tint="-0.34998626667073579"/>
      </top>
      <bottom style="medium">
        <color indexed="64"/>
      </bottom>
      <diagonal/>
    </border>
    <border>
      <left style="medium">
        <color indexed="64"/>
      </left>
      <right style="thin">
        <color indexed="55"/>
      </right>
      <top/>
      <bottom/>
      <diagonal/>
    </border>
    <border>
      <left style="thin">
        <color indexed="55"/>
      </left>
      <right/>
      <top/>
      <bottom/>
      <diagonal/>
    </border>
    <border>
      <left style="thin">
        <color indexed="64"/>
      </left>
      <right style="medium">
        <color indexed="64"/>
      </right>
      <top/>
      <bottom/>
      <diagonal/>
    </border>
    <border>
      <left style="medium">
        <color indexed="64"/>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style="thin">
        <color theme="0" tint="-0.499984740745262"/>
      </right>
      <top/>
      <bottom style="thin">
        <color indexed="55"/>
      </bottom>
      <diagonal/>
    </border>
    <border>
      <left style="thin">
        <color indexed="55"/>
      </left>
      <right style="thin">
        <color indexed="55"/>
      </right>
      <top style="thin">
        <color indexed="64"/>
      </top>
      <bottom style="thin">
        <color indexed="55"/>
      </bottom>
      <diagonal/>
    </border>
    <border>
      <left style="thin">
        <color indexed="55"/>
      </left>
      <right/>
      <top style="thin">
        <color indexed="64"/>
      </top>
      <bottom style="thin">
        <color indexed="55"/>
      </bottom>
      <diagonal/>
    </border>
    <border>
      <left style="thin">
        <color indexed="55"/>
      </left>
      <right style="thin">
        <color indexed="55"/>
      </right>
      <top style="thin">
        <color theme="0" tint="-0.34998626667073579"/>
      </top>
      <bottom style="thin">
        <color indexed="55"/>
      </bottom>
      <diagonal/>
    </border>
    <border>
      <left style="thin">
        <color indexed="55"/>
      </left>
      <right style="thin">
        <color indexed="64"/>
      </right>
      <top style="thin">
        <color theme="0" tint="-0.34998626667073579"/>
      </top>
      <bottom style="thin">
        <color indexed="55"/>
      </bottom>
      <diagonal/>
    </border>
    <border>
      <left style="medium">
        <color indexed="64"/>
      </left>
      <right style="thin">
        <color indexed="55"/>
      </right>
      <top style="thin">
        <color indexed="64"/>
      </top>
      <bottom style="thin">
        <color indexed="55"/>
      </bottom>
      <diagonal/>
    </border>
    <border>
      <left style="thin">
        <color indexed="64"/>
      </left>
      <right style="medium">
        <color indexed="64"/>
      </right>
      <top style="thin">
        <color indexed="64"/>
      </top>
      <bottom style="thin">
        <color indexed="55"/>
      </bottom>
      <diagonal/>
    </border>
    <border>
      <left style="medium">
        <color indexed="64"/>
      </left>
      <right style="thin">
        <color indexed="55"/>
      </right>
      <top style="thin">
        <color theme="0" tint="-0.34998626667073579"/>
      </top>
      <bottom style="thin">
        <color indexed="55"/>
      </bottom>
      <diagonal/>
    </border>
    <border>
      <left style="medium">
        <color indexed="64"/>
      </left>
      <right style="thin">
        <color indexed="64"/>
      </right>
      <top style="thin">
        <color indexed="64"/>
      </top>
      <bottom style="thin">
        <color indexed="55"/>
      </bottom>
      <diagonal/>
    </border>
    <border>
      <left style="thin">
        <color indexed="64"/>
      </left>
      <right/>
      <top/>
      <bottom style="medium">
        <color indexed="64"/>
      </bottom>
      <diagonal/>
    </border>
    <border>
      <left style="medium">
        <color indexed="64"/>
      </left>
      <right style="thin">
        <color indexed="55"/>
      </right>
      <top style="thin">
        <color indexed="64"/>
      </top>
      <bottom style="medium">
        <color indexed="64"/>
      </bottom>
      <diagonal/>
    </border>
    <border>
      <left style="thin">
        <color indexed="55"/>
      </left>
      <right style="thin">
        <color indexed="55"/>
      </right>
      <top style="thin">
        <color indexed="64"/>
      </top>
      <bottom style="medium">
        <color indexed="64"/>
      </bottom>
      <diagonal/>
    </border>
    <border>
      <left style="thin">
        <color indexed="55"/>
      </left>
      <right/>
      <top style="thin">
        <color indexed="64"/>
      </top>
      <bottom style="medium">
        <color indexed="64"/>
      </bottom>
      <diagonal/>
    </border>
    <border>
      <left style="medium">
        <color indexed="64"/>
      </left>
      <right style="thin">
        <color indexed="55"/>
      </right>
      <top style="medium">
        <color indexed="64"/>
      </top>
      <bottom style="medium">
        <color indexed="64"/>
      </bottom>
      <diagonal/>
    </border>
    <border>
      <left style="thin">
        <color indexed="55"/>
      </left>
      <right style="thin">
        <color indexed="55"/>
      </right>
      <top style="medium">
        <color indexed="64"/>
      </top>
      <bottom style="medium">
        <color indexed="64"/>
      </bottom>
      <diagonal/>
    </border>
    <border>
      <left style="thin">
        <color indexed="55"/>
      </left>
      <right/>
      <top style="medium">
        <color indexed="64"/>
      </top>
      <bottom style="medium">
        <color indexed="64"/>
      </bottom>
      <diagonal/>
    </border>
    <border>
      <left style="thin">
        <color indexed="55"/>
      </left>
      <right/>
      <top style="thin">
        <color indexed="55"/>
      </top>
      <bottom style="medium">
        <color indexed="64"/>
      </bottom>
      <diagonal/>
    </border>
    <border>
      <left style="medium">
        <color indexed="64"/>
      </left>
      <right style="thin">
        <color indexed="55"/>
      </right>
      <top/>
      <bottom style="medium">
        <color indexed="64"/>
      </bottom>
      <diagonal/>
    </border>
    <border>
      <left style="thin">
        <color indexed="55"/>
      </left>
      <right style="thin">
        <color indexed="55"/>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55"/>
      </right>
      <top style="thin">
        <color indexed="64"/>
      </top>
      <bottom style="thin">
        <color theme="0" tint="-0.34998626667073579"/>
      </bottom>
      <diagonal/>
    </border>
    <border>
      <left style="thin">
        <color indexed="55"/>
      </left>
      <right style="thin">
        <color indexed="55"/>
      </right>
      <top style="thin">
        <color indexed="64"/>
      </top>
      <bottom/>
      <diagonal/>
    </border>
    <border>
      <left style="thin">
        <color indexed="55"/>
      </left>
      <right style="thin">
        <color indexed="55"/>
      </right>
      <top style="thin">
        <color theme="0" tint="-0.34998626667073579"/>
      </top>
      <bottom/>
      <diagonal/>
    </border>
    <border>
      <left style="thin">
        <color indexed="55"/>
      </left>
      <right/>
      <top style="thin">
        <color indexed="64"/>
      </top>
      <bottom/>
      <diagonal/>
    </border>
    <border>
      <left style="thin">
        <color indexed="64"/>
      </left>
      <right style="medium">
        <color indexed="64"/>
      </right>
      <top style="thin">
        <color indexed="64"/>
      </top>
      <bottom style="thin">
        <color theme="0" tint="-0.34998626667073579"/>
      </bottom>
      <diagonal/>
    </border>
    <border>
      <left style="thin">
        <color indexed="55"/>
      </left>
      <right style="thin">
        <color indexed="64"/>
      </right>
      <top style="thin">
        <color theme="0" tint="-0.34998626667073579"/>
      </top>
      <bottom style="thin">
        <color theme="0" tint="-0.34998626667073579"/>
      </bottom>
      <diagonal/>
    </border>
    <border>
      <left style="thin">
        <color indexed="64"/>
      </left>
      <right/>
      <top/>
      <bottom style="thin">
        <color indexed="55"/>
      </bottom>
      <diagonal/>
    </border>
    <border>
      <left style="thin">
        <color indexed="64"/>
      </left>
      <right style="thin">
        <color indexed="64"/>
      </right>
      <top/>
      <bottom style="thin">
        <color indexed="55"/>
      </bottom>
      <diagonal/>
    </border>
    <border>
      <left style="thin">
        <color indexed="55"/>
      </left>
      <right style="thin">
        <color indexed="64"/>
      </right>
      <top/>
      <bottom style="thin">
        <color indexed="55"/>
      </bottom>
      <diagonal/>
    </border>
    <border>
      <left style="thin">
        <color indexed="55"/>
      </left>
      <right style="thin">
        <color indexed="64"/>
      </right>
      <top style="thin">
        <color indexed="55"/>
      </top>
      <bottom style="thin">
        <color indexed="55"/>
      </bottom>
      <diagonal/>
    </border>
    <border>
      <left style="thin">
        <color indexed="55"/>
      </left>
      <right style="thin">
        <color indexed="64"/>
      </right>
      <top style="thin">
        <color indexed="55"/>
      </top>
      <bottom style="thin">
        <color theme="0" tint="-0.34998626667073579"/>
      </bottom>
      <diagonal/>
    </border>
    <border>
      <left style="thin">
        <color indexed="55"/>
      </left>
      <right style="thin">
        <color indexed="64"/>
      </right>
      <top style="thin">
        <color theme="0" tint="-0.34998626667073579"/>
      </top>
      <bottom style="thin">
        <color indexed="64"/>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55"/>
      </right>
      <top/>
      <bottom/>
      <diagonal/>
    </border>
    <border>
      <left style="thin">
        <color indexed="55"/>
      </left>
      <right style="thin">
        <color indexed="64"/>
      </right>
      <top/>
      <bottom/>
      <diagonal/>
    </border>
    <border>
      <left style="thin">
        <color indexed="55"/>
      </left>
      <right style="thin">
        <color indexed="64"/>
      </right>
      <top style="thin">
        <color indexed="55"/>
      </top>
      <bottom/>
      <diagonal/>
    </border>
    <border>
      <left style="thin">
        <color indexed="55"/>
      </left>
      <right style="thin">
        <color indexed="64"/>
      </right>
      <top style="thin">
        <color indexed="64"/>
      </top>
      <bottom style="thin">
        <color indexed="55"/>
      </bottom>
      <diagonal/>
    </border>
    <border>
      <left style="thin">
        <color indexed="55"/>
      </left>
      <right style="thin">
        <color indexed="64"/>
      </right>
      <top style="thin">
        <color indexed="55"/>
      </top>
      <bottom style="medium">
        <color indexed="64"/>
      </bottom>
      <diagonal/>
    </border>
    <border>
      <left style="thin">
        <color indexed="64"/>
      </left>
      <right style="thin">
        <color indexed="64"/>
      </right>
      <top style="thin">
        <color theme="0" tint="-0.34998626667073579"/>
      </top>
      <bottom style="thin">
        <color indexed="64"/>
      </bottom>
      <diagonal/>
    </border>
    <border>
      <left style="thin">
        <color theme="0" tint="-0.34998626667073579"/>
      </left>
      <right style="thin">
        <color indexed="64"/>
      </right>
      <top style="thin">
        <color indexed="64"/>
      </top>
      <bottom/>
      <diagonal/>
    </border>
    <border>
      <left style="thin">
        <color theme="0" tint="-0.34998626667073579"/>
      </left>
      <right style="thin">
        <color indexed="64"/>
      </right>
      <top style="thin">
        <color theme="0" tint="-0.34998626667073579"/>
      </top>
      <bottom style="thin">
        <color indexed="64"/>
      </bottom>
      <diagonal/>
    </border>
    <border>
      <left style="thin">
        <color indexed="55"/>
      </left>
      <right style="thin">
        <color indexed="64"/>
      </right>
      <top/>
      <bottom style="medium">
        <color indexed="64"/>
      </bottom>
      <diagonal/>
    </border>
    <border>
      <left/>
      <right style="thin">
        <color indexed="64"/>
      </right>
      <top style="thin">
        <color indexed="55"/>
      </top>
      <bottom style="medium">
        <color indexed="64"/>
      </bottom>
      <diagonal/>
    </border>
    <border>
      <left style="thin">
        <color indexed="64"/>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style="medium">
        <color indexed="64"/>
      </left>
      <right/>
      <top style="medium">
        <color indexed="64"/>
      </top>
      <bottom style="thin">
        <color theme="0" tint="-0.34998626667073579"/>
      </bottom>
      <diagonal/>
    </border>
    <border>
      <left/>
      <right style="thin">
        <color indexed="64"/>
      </right>
      <top style="medium">
        <color indexed="64"/>
      </top>
      <bottom style="thin">
        <color theme="0" tint="-0.34998626667073579"/>
      </bottom>
      <diagonal/>
    </border>
    <border>
      <left style="medium">
        <color indexed="64"/>
      </left>
      <right/>
      <top style="thin">
        <color theme="0" tint="-0.34998626667073579"/>
      </top>
      <bottom style="thin">
        <color indexed="64"/>
      </bottom>
      <diagonal/>
    </border>
    <border>
      <left style="thin">
        <color indexed="64"/>
      </left>
      <right style="thin">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style="medium">
        <color indexed="64"/>
      </right>
      <top style="thin">
        <color theme="0" tint="-0.34998626667073579"/>
      </top>
      <bottom/>
      <diagonal/>
    </border>
    <border>
      <left style="medium">
        <color indexed="64"/>
      </left>
      <right/>
      <top/>
      <bottom style="thin">
        <color theme="0" tint="-0.34998626667073579"/>
      </bottom>
      <diagonal/>
    </border>
    <border>
      <left style="thin">
        <color indexed="55"/>
      </left>
      <right style="thin">
        <color indexed="64"/>
      </right>
      <top style="thin">
        <color indexed="55"/>
      </top>
      <bottom style="thin">
        <color indexed="64"/>
      </bottom>
      <diagonal/>
    </border>
    <border>
      <left style="thin">
        <color indexed="55"/>
      </left>
      <right style="thin">
        <color indexed="64"/>
      </right>
      <top/>
      <bottom style="thin">
        <color indexed="64"/>
      </bottom>
      <diagonal/>
    </border>
    <border>
      <left style="thin">
        <color indexed="55"/>
      </left>
      <right style="thin">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theme="0" tint="-0.249977111117893"/>
      </top>
      <bottom style="thin">
        <color theme="0" tint="-0.249977111117893"/>
      </bottom>
      <diagonal/>
    </border>
    <border>
      <left/>
      <right/>
      <top style="thin">
        <color theme="0" tint="-0.249977111117893"/>
      </top>
      <bottom/>
      <diagonal/>
    </border>
    <border>
      <left style="thin">
        <color auto="1"/>
      </left>
      <right style="thin">
        <color indexed="64"/>
      </right>
      <top/>
      <bottom style="thin">
        <color theme="0" tint="-0.249977111117893"/>
      </bottom>
      <diagonal/>
    </border>
    <border>
      <left style="thin">
        <color auto="1"/>
      </left>
      <right style="thin">
        <color indexed="64"/>
      </right>
      <top style="thin">
        <color theme="0" tint="-0.249977111117893"/>
      </top>
      <bottom style="thin">
        <color theme="0" tint="-0.249977111117893"/>
      </bottom>
      <diagonal/>
    </border>
    <border>
      <left style="thin">
        <color auto="1"/>
      </left>
      <right style="thin">
        <color indexed="64"/>
      </right>
      <top style="thin">
        <color theme="0" tint="-0.249977111117893"/>
      </top>
      <bottom/>
      <diagonal/>
    </border>
    <border>
      <left style="thin">
        <color auto="1"/>
      </left>
      <right style="thin">
        <color indexed="64"/>
      </right>
      <top style="thin">
        <color auto="1"/>
      </top>
      <bottom style="thin">
        <color theme="0" tint="-0.249977111117893"/>
      </bottom>
      <diagonal/>
    </border>
    <border>
      <left style="thin">
        <color theme="0" tint="-0.249977111117893"/>
      </left>
      <right style="thin">
        <color auto="1"/>
      </right>
      <top style="thin">
        <color auto="1"/>
      </top>
      <bottom style="thin">
        <color theme="0" tint="-0.249977111117893"/>
      </bottom>
      <diagonal/>
    </border>
    <border>
      <left style="thin">
        <color theme="0" tint="-0.249977111117893"/>
      </left>
      <right style="thin">
        <color auto="1"/>
      </right>
      <top style="thin">
        <color theme="0" tint="-0.249977111117893"/>
      </top>
      <bottom style="thin">
        <color theme="0" tint="-0.249977111117893"/>
      </bottom>
      <diagonal/>
    </border>
    <border>
      <left style="thin">
        <color theme="0" tint="-0.249977111117893"/>
      </left>
      <right style="thin">
        <color auto="1"/>
      </right>
      <top style="thin">
        <color theme="0" tint="-0.249977111117893"/>
      </top>
      <bottom style="thin">
        <color indexed="64"/>
      </bottom>
      <diagonal/>
    </border>
    <border>
      <left/>
      <right style="medium">
        <color indexed="64"/>
      </right>
      <top style="thin">
        <color indexed="64"/>
      </top>
      <bottom style="thin">
        <color indexed="64"/>
      </bottom>
      <diagonal/>
    </border>
    <border>
      <left style="medium">
        <color indexed="64"/>
      </left>
      <right/>
      <top style="thin">
        <color auto="1"/>
      </top>
      <bottom style="thin">
        <color theme="0" tint="-0.249977111117893"/>
      </bottom>
      <diagonal/>
    </border>
    <border>
      <left style="medium">
        <color indexed="64"/>
      </left>
      <right/>
      <top style="thin">
        <color theme="0" tint="-0.249977111117893"/>
      </top>
      <bottom style="thin">
        <color theme="0" tint="-0.249977111117893"/>
      </bottom>
      <diagonal/>
    </border>
    <border>
      <left style="medium">
        <color indexed="64"/>
      </left>
      <right/>
      <top style="thin">
        <color theme="0" tint="-0.249977111117893"/>
      </top>
      <bottom/>
      <diagonal/>
    </border>
    <border>
      <left style="medium">
        <color indexed="64"/>
      </left>
      <right/>
      <top style="thin">
        <color theme="0" tint="-0.249977111117893"/>
      </top>
      <bottom style="thin">
        <color indexed="64"/>
      </bottom>
      <diagonal/>
    </border>
    <border>
      <left style="medium">
        <color indexed="64"/>
      </left>
      <right style="thin">
        <color theme="0" tint="-0.249977111117893"/>
      </right>
      <top style="thin">
        <color theme="0" tint="-0.249977111117893"/>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theme="0" tint="-0.249977111117893"/>
      </left>
      <right/>
      <top style="thin">
        <color theme="0" tint="-0.249977111117893"/>
      </top>
      <bottom/>
      <diagonal/>
    </border>
    <border>
      <left/>
      <right/>
      <top style="thin">
        <color theme="0" tint="-0.249977111117893"/>
      </top>
      <bottom style="thin">
        <color theme="0" tint="-0.249977111117893"/>
      </bottom>
      <diagonal/>
    </border>
    <border>
      <left style="thin">
        <color indexed="64"/>
      </left>
      <right style="thin">
        <color indexed="55"/>
      </right>
      <top style="thin">
        <color indexed="55"/>
      </top>
      <bottom style="medium">
        <color indexed="64"/>
      </bottom>
      <diagonal/>
    </border>
    <border>
      <left style="thin">
        <color indexed="55"/>
      </left>
      <right style="thin">
        <color indexed="64"/>
      </right>
      <top style="thin">
        <color indexed="55"/>
      </top>
      <bottom style="medium">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theme="0" tint="-0.249977111117893"/>
      </top>
      <bottom/>
      <diagonal/>
    </border>
    <border>
      <left style="thin">
        <color indexed="64"/>
      </left>
      <right style="thin">
        <color indexed="55"/>
      </right>
      <top style="thin">
        <color indexed="64"/>
      </top>
      <bottom style="thin">
        <color theme="0" tint="-0.34998626667073579"/>
      </bottom>
      <diagonal/>
    </border>
    <border>
      <left style="thin">
        <color indexed="55"/>
      </left>
      <right style="medium">
        <color indexed="64"/>
      </right>
      <top style="thin">
        <color indexed="55"/>
      </top>
      <bottom style="thin">
        <color indexed="55"/>
      </bottom>
      <diagonal/>
    </border>
  </borders>
  <cellStyleXfs count="44">
    <xf numFmtId="0" fontId="0" fillId="0" borderId="0"/>
    <xf numFmtId="0" fontId="31" fillId="13"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3" fillId="15" borderId="0" applyNumberFormat="0" applyBorder="0" applyAlignment="0" applyProtection="0"/>
    <xf numFmtId="0" fontId="34" fillId="2" borderId="1">
      <alignment horizontal="center" vertical="center"/>
    </xf>
    <xf numFmtId="0" fontId="35" fillId="16" borderId="0" applyNumberFormat="0" applyBorder="0" applyAlignment="0" applyProtection="0"/>
    <xf numFmtId="0" fontId="36" fillId="17" borderId="80" applyNumberFormat="0" applyAlignment="0" applyProtection="0"/>
    <xf numFmtId="0" fontId="10" fillId="18" borderId="1" applyNumberFormat="0" applyAlignment="0" applyProtection="0"/>
    <xf numFmtId="0" fontId="37" fillId="0" borderId="1">
      <alignment horizontal="center"/>
    </xf>
    <xf numFmtId="0" fontId="38" fillId="0" borderId="0" applyNumberFormat="0" applyFill="0" applyBorder="0" applyAlignment="0" applyProtection="0"/>
    <xf numFmtId="0" fontId="11" fillId="3" borderId="0" applyNumberFormat="0" applyAlignment="0" applyProtection="0"/>
    <xf numFmtId="0" fontId="38" fillId="0" borderId="0" applyNumberFormat="0" applyFill="0" applyBorder="0" applyAlignment="0" applyProtection="0"/>
    <xf numFmtId="0" fontId="37" fillId="0" borderId="1">
      <alignment horizontal="center" vertical="center"/>
    </xf>
    <xf numFmtId="0" fontId="14" fillId="19" borderId="0" applyNumberFormat="0" applyBorder="0" applyProtection="0">
      <alignment horizontal="left" vertical="center"/>
    </xf>
    <xf numFmtId="0" fontId="14" fillId="19" borderId="0" applyNumberFormat="0" applyBorder="0" applyProtection="0">
      <alignment horizontal="left" vertical="center"/>
    </xf>
    <xf numFmtId="0" fontId="39"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1" fillId="20" borderId="1" applyNumberFormat="0" applyProtection="0">
      <alignment horizontal="center" vertical="center"/>
    </xf>
    <xf numFmtId="0" fontId="10" fillId="6" borderId="1" applyNumberFormat="0" applyAlignment="0" applyProtection="0"/>
    <xf numFmtId="0" fontId="10" fillId="20" borderId="1" applyNumberFormat="0" applyProtection="0">
      <alignment horizontal="center" vertical="center"/>
    </xf>
    <xf numFmtId="0" fontId="42" fillId="21" borderId="0" applyNumberFormat="0" applyBorder="0" applyAlignment="0" applyProtection="0"/>
    <xf numFmtId="0" fontId="43" fillId="21" borderId="0" applyNumberFormat="0" applyBorder="0" applyAlignment="0" applyProtection="0"/>
    <xf numFmtId="0" fontId="12" fillId="0" borderId="0"/>
    <xf numFmtId="0" fontId="30" fillId="0" borderId="0"/>
    <xf numFmtId="0" fontId="31" fillId="0" borderId="0"/>
    <xf numFmtId="0" fontId="12" fillId="0" borderId="0"/>
    <xf numFmtId="0" fontId="30" fillId="0" borderId="0"/>
    <xf numFmtId="0" fontId="30" fillId="0" borderId="0"/>
    <xf numFmtId="0" fontId="44" fillId="17" borderId="1" applyNumberFormat="0" applyProtection="0">
      <alignment horizontal="center" vertical="center"/>
    </xf>
    <xf numFmtId="0" fontId="44" fillId="17" borderId="81" applyNumberFormat="0" applyAlignment="0" applyProtection="0"/>
    <xf numFmtId="0" fontId="44" fillId="12" borderId="1" applyNumberFormat="0" applyProtection="0">
      <alignment horizontal="center" vertical="center"/>
    </xf>
    <xf numFmtId="9" fontId="15" fillId="0" borderId="0" applyFont="0" applyFill="0" applyBorder="0" applyAlignment="0" applyProtection="0"/>
    <xf numFmtId="0" fontId="45" fillId="22" borderId="0"/>
    <xf numFmtId="0" fontId="46" fillId="0" borderId="0"/>
    <xf numFmtId="0" fontId="46" fillId="0" borderId="2">
      <alignment horizontal="center" vertical="center" wrapText="1"/>
    </xf>
    <xf numFmtId="0" fontId="47" fillId="0" borderId="1">
      <alignment horizontal="center" vertical="center"/>
    </xf>
    <xf numFmtId="0" fontId="47" fillId="0" borderId="1">
      <alignment horizontal="center" vertical="center"/>
    </xf>
    <xf numFmtId="0" fontId="2" fillId="13" borderId="0" applyNumberFormat="0" applyBorder="0" applyAlignment="0" applyProtection="0"/>
    <xf numFmtId="0" fontId="33" fillId="15" borderId="0" applyNumberFormat="0" applyBorder="0" applyAlignment="0" applyProtection="0"/>
    <xf numFmtId="0" fontId="30" fillId="32" borderId="231" applyProtection="0">
      <alignment horizontal="center" vertical="center"/>
    </xf>
    <xf numFmtId="0" fontId="32" fillId="25" borderId="231">
      <alignment horizontal="center" vertical="center"/>
    </xf>
    <xf numFmtId="0" fontId="32" fillId="25" borderId="231">
      <alignment horizontal="center" vertical="center"/>
    </xf>
    <xf numFmtId="0" fontId="30" fillId="32" borderId="231" applyProtection="0">
      <alignment horizontal="center" vertical="center"/>
    </xf>
  </cellStyleXfs>
  <cellXfs count="1626">
    <xf numFmtId="0" fontId="0" fillId="0" borderId="0" xfId="0"/>
    <xf numFmtId="0" fontId="3" fillId="0" borderId="3" xfId="0" applyFont="1" applyBorder="1"/>
    <xf numFmtId="2" fontId="3" fillId="0" borderId="10" xfId="0" applyNumberFormat="1" applyFont="1" applyBorder="1" applyAlignment="1">
      <alignment horizontal="center"/>
    </xf>
    <xf numFmtId="2" fontId="3" fillId="0" borderId="10" xfId="0" applyNumberFormat="1" applyFont="1" applyFill="1" applyBorder="1" applyAlignment="1">
      <alignment horizontal="center"/>
    </xf>
    <xf numFmtId="0" fontId="3" fillId="0" borderId="3" xfId="0" applyFont="1" applyFill="1" applyBorder="1"/>
    <xf numFmtId="0" fontId="3" fillId="0" borderId="4" xfId="0" applyFont="1" applyFill="1" applyBorder="1"/>
    <xf numFmtId="0" fontId="3" fillId="0" borderId="11" xfId="0" applyFont="1" applyFill="1" applyBorder="1" applyAlignment="1">
      <alignment horizontal="center"/>
    </xf>
    <xf numFmtId="2" fontId="3" fillId="0" borderId="11" xfId="0" applyNumberFormat="1" applyFont="1" applyFill="1" applyBorder="1" applyAlignment="1">
      <alignment horizontal="center"/>
    </xf>
    <xf numFmtId="164" fontId="3" fillId="0" borderId="11" xfId="0" applyNumberFormat="1" applyFont="1" applyBorder="1" applyAlignment="1">
      <alignment horizontal="center"/>
    </xf>
    <xf numFmtId="2" fontId="3" fillId="0" borderId="12" xfId="0" applyNumberFormat="1" applyFont="1" applyFill="1" applyBorder="1" applyAlignment="1">
      <alignment horizontal="center"/>
    </xf>
    <xf numFmtId="0" fontId="3" fillId="0" borderId="0" xfId="0" applyFont="1"/>
    <xf numFmtId="0" fontId="3" fillId="0" borderId="0" xfId="0" applyFont="1" applyBorder="1"/>
    <xf numFmtId="0" fontId="3" fillId="0" borderId="0" xfId="0" applyFont="1" applyAlignment="1">
      <alignment horizontal="center"/>
    </xf>
    <xf numFmtId="0" fontId="3" fillId="0" borderId="1" xfId="0" applyFont="1" applyBorder="1" applyAlignment="1">
      <alignment horizontal="center"/>
    </xf>
    <xf numFmtId="164" fontId="3" fillId="0" borderId="1" xfId="0" applyNumberFormat="1" applyFont="1" applyBorder="1" applyAlignment="1">
      <alignment horizontal="center"/>
    </xf>
    <xf numFmtId="2" fontId="3" fillId="0" borderId="1" xfId="0" applyNumberFormat="1" applyFont="1" applyBorder="1" applyAlignment="1">
      <alignment horizontal="center"/>
    </xf>
    <xf numFmtId="0" fontId="3" fillId="0" borderId="10" xfId="0" applyFont="1" applyBorder="1" applyAlignment="1">
      <alignment horizontal="center" vertical="center"/>
    </xf>
    <xf numFmtId="0" fontId="3" fillId="0" borderId="12" xfId="0" applyFont="1" applyBorder="1" applyAlignment="1">
      <alignment horizontal="center" vertical="center"/>
    </xf>
    <xf numFmtId="0" fontId="3" fillId="0" borderId="1" xfId="0" applyFont="1" applyBorder="1" applyAlignment="1">
      <alignment horizontal="center" vertical="center"/>
    </xf>
    <xf numFmtId="0" fontId="3" fillId="0" borderId="11"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1" xfId="0" applyFont="1" applyBorder="1" applyAlignment="1">
      <alignment horizontal="center"/>
    </xf>
    <xf numFmtId="0" fontId="46" fillId="0" borderId="0" xfId="34"/>
    <xf numFmtId="0" fontId="3" fillId="0" borderId="16" xfId="0" applyFont="1" applyBorder="1"/>
    <xf numFmtId="0" fontId="3" fillId="0" borderId="19" xfId="0" applyFont="1" applyBorder="1"/>
    <xf numFmtId="0" fontId="3" fillId="0" borderId="20" xfId="0" applyFont="1" applyBorder="1"/>
    <xf numFmtId="0" fontId="3" fillId="0" borderId="21" xfId="0" applyFont="1" applyBorder="1"/>
    <xf numFmtId="0" fontId="3" fillId="0" borderId="22" xfId="0" applyFont="1" applyBorder="1"/>
    <xf numFmtId="0" fontId="3" fillId="0" borderId="21" xfId="0" applyFont="1" applyFill="1" applyBorder="1"/>
    <xf numFmtId="0" fontId="3" fillId="0" borderId="19" xfId="0" applyFont="1" applyFill="1" applyBorder="1"/>
    <xf numFmtId="0" fontId="3" fillId="0" borderId="4" xfId="0" applyFont="1" applyBorder="1" applyAlignment="1">
      <alignment horizontal="center"/>
    </xf>
    <xf numFmtId="3" fontId="3" fillId="0" borderId="3" xfId="0" applyNumberFormat="1" applyFont="1" applyBorder="1" applyAlignment="1">
      <alignment horizontal="center"/>
    </xf>
    <xf numFmtId="3" fontId="3" fillId="0" borderId="1" xfId="0" applyNumberFormat="1" applyFont="1" applyBorder="1" applyAlignment="1">
      <alignment horizontal="center"/>
    </xf>
    <xf numFmtId="3" fontId="3" fillId="0" borderId="4" xfId="0" applyNumberFormat="1" applyFont="1" applyBorder="1" applyAlignment="1">
      <alignment horizontal="center"/>
    </xf>
    <xf numFmtId="0" fontId="3" fillId="0" borderId="3" xfId="0" applyFont="1" applyBorder="1" applyAlignment="1">
      <alignment horizontal="center"/>
    </xf>
    <xf numFmtId="0" fontId="6" fillId="0" borderId="0" xfId="28" applyFont="1" applyAlignment="1">
      <alignment vertical="center"/>
    </xf>
    <xf numFmtId="0" fontId="6" fillId="7" borderId="0" xfId="28" applyFont="1" applyFill="1" applyAlignment="1">
      <alignment vertical="center"/>
    </xf>
    <xf numFmtId="0" fontId="3" fillId="0" borderId="0" xfId="28" applyFont="1" applyAlignment="1">
      <alignment vertical="center"/>
    </xf>
    <xf numFmtId="0" fontId="3" fillId="7" borderId="0" xfId="28" applyFont="1" applyFill="1" applyAlignment="1">
      <alignment vertical="center"/>
    </xf>
    <xf numFmtId="0" fontId="3" fillId="0" borderId="26" xfId="28" applyFont="1" applyBorder="1" applyAlignment="1">
      <alignment vertical="center"/>
    </xf>
    <xf numFmtId="0" fontId="13" fillId="19" borderId="30" xfId="15" applyFont="1" applyBorder="1" applyAlignment="1">
      <alignment horizontal="left" vertical="center"/>
    </xf>
    <xf numFmtId="0" fontId="13" fillId="19" borderId="31" xfId="15" applyFont="1" applyBorder="1" applyAlignment="1">
      <alignment horizontal="left" vertical="center"/>
    </xf>
    <xf numFmtId="0" fontId="8" fillId="0" borderId="30" xfId="28" applyFont="1" applyBorder="1" applyAlignment="1">
      <alignment horizontal="center" vertical="center"/>
    </xf>
    <xf numFmtId="0" fontId="8" fillId="0" borderId="32" xfId="28" applyFont="1" applyBorder="1" applyAlignment="1">
      <alignment horizontal="center" vertical="center"/>
    </xf>
    <xf numFmtId="0" fontId="3" fillId="0" borderId="33" xfId="28" applyFont="1" applyBorder="1" applyAlignment="1">
      <alignment vertical="center"/>
    </xf>
    <xf numFmtId="0" fontId="3" fillId="0" borderId="34" xfId="28" applyFont="1" applyBorder="1" applyAlignment="1">
      <alignment vertical="center"/>
    </xf>
    <xf numFmtId="0" fontId="3" fillId="0" borderId="35" xfId="28" applyFont="1" applyBorder="1" applyAlignment="1">
      <alignment vertical="center"/>
    </xf>
    <xf numFmtId="0" fontId="6" fillId="0" borderId="26" xfId="28" applyFont="1" applyBorder="1" applyAlignment="1">
      <alignment vertical="center"/>
    </xf>
    <xf numFmtId="0" fontId="6" fillId="0" borderId="35" xfId="28" applyFont="1" applyBorder="1" applyAlignment="1">
      <alignment vertical="center"/>
    </xf>
    <xf numFmtId="0" fontId="6" fillId="0" borderId="28" xfId="28" applyFont="1" applyBorder="1" applyAlignment="1">
      <alignment vertical="center"/>
    </xf>
    <xf numFmtId="0" fontId="6" fillId="0" borderId="36" xfId="28" applyFont="1" applyBorder="1" applyAlignment="1">
      <alignment vertical="center"/>
    </xf>
    <xf numFmtId="0" fontId="6" fillId="0" borderId="0" xfId="28" applyFont="1" applyBorder="1" applyAlignment="1">
      <alignment vertical="center"/>
    </xf>
    <xf numFmtId="0" fontId="3" fillId="0" borderId="0" xfId="25" applyFont="1" applyBorder="1" applyAlignment="1">
      <alignment vertical="center"/>
    </xf>
    <xf numFmtId="0" fontId="3" fillId="0" borderId="20" xfId="25" applyFont="1" applyBorder="1" applyAlignment="1">
      <alignment vertical="center"/>
    </xf>
    <xf numFmtId="0" fontId="20" fillId="19" borderId="37" xfId="15" applyFont="1" applyBorder="1" applyAlignment="1">
      <alignment horizontal="left" vertical="center"/>
    </xf>
    <xf numFmtId="0" fontId="13" fillId="19" borderId="38" xfId="15" applyFont="1" applyBorder="1" applyAlignment="1">
      <alignment horizontal="left" vertical="center"/>
    </xf>
    <xf numFmtId="0" fontId="3" fillId="0" borderId="0" xfId="28" applyFont="1" applyBorder="1" applyAlignment="1">
      <alignment vertical="center"/>
    </xf>
    <xf numFmtId="0" fontId="6" fillId="0" borderId="0" xfId="28" applyFont="1" applyFill="1" applyAlignment="1">
      <alignment vertical="center"/>
    </xf>
    <xf numFmtId="14" fontId="15" fillId="0" borderId="0" xfId="28" applyNumberFormat="1" applyFont="1"/>
    <xf numFmtId="0" fontId="15" fillId="0" borderId="0" xfId="28" applyFont="1"/>
    <xf numFmtId="0" fontId="15" fillId="7" borderId="0" xfId="28" applyFont="1" applyFill="1"/>
    <xf numFmtId="0" fontId="14" fillId="19" borderId="18" xfId="15" applyFont="1" applyBorder="1">
      <alignment horizontal="left" vertical="center"/>
    </xf>
    <xf numFmtId="0" fontId="14" fillId="19" borderId="25" xfId="15" applyFont="1" applyBorder="1">
      <alignment horizontal="left" vertical="center"/>
    </xf>
    <xf numFmtId="0" fontId="16" fillId="0" borderId="39" xfId="28" applyFont="1" applyBorder="1" applyAlignment="1">
      <alignment horizontal="center"/>
    </xf>
    <xf numFmtId="0" fontId="16" fillId="0" borderId="32" xfId="28" applyFont="1" applyBorder="1" applyAlignment="1">
      <alignment horizontal="center"/>
    </xf>
    <xf numFmtId="14" fontId="15" fillId="0" borderId="34" xfId="28" applyNumberFormat="1" applyFont="1" applyBorder="1" applyAlignment="1">
      <alignment horizontal="center" wrapText="1"/>
    </xf>
    <xf numFmtId="14" fontId="15" fillId="0" borderId="35" xfId="28" applyNumberFormat="1" applyFont="1" applyBorder="1" applyAlignment="1">
      <alignment horizontal="center" wrapText="1"/>
    </xf>
    <xf numFmtId="0" fontId="15" fillId="0" borderId="0" xfId="28" applyFont="1" applyAlignment="1">
      <alignment horizontal="center"/>
    </xf>
    <xf numFmtId="0" fontId="15" fillId="0" borderId="41" xfId="28" applyNumberFormat="1" applyFont="1" applyBorder="1" applyAlignment="1">
      <alignment horizontal="center" wrapText="1"/>
    </xf>
    <xf numFmtId="14" fontId="15" fillId="0" borderId="36" xfId="28" applyNumberFormat="1" applyFont="1" applyBorder="1" applyAlignment="1">
      <alignment horizontal="center" wrapText="1"/>
    </xf>
    <xf numFmtId="0" fontId="15" fillId="0" borderId="0" xfId="28" applyNumberFormat="1" applyFont="1"/>
    <xf numFmtId="0" fontId="15" fillId="7" borderId="0" xfId="28" applyNumberFormat="1" applyFont="1" applyFill="1"/>
    <xf numFmtId="14" fontId="15" fillId="7" borderId="0" xfId="28" applyNumberFormat="1" applyFont="1" applyFill="1"/>
    <xf numFmtId="0" fontId="3" fillId="0" borderId="0" xfId="25" applyFont="1" applyAlignment="1">
      <alignment vertical="center"/>
    </xf>
    <xf numFmtId="0" fontId="3" fillId="7" borderId="0" xfId="25" applyFont="1" applyFill="1" applyAlignment="1">
      <alignment vertical="center"/>
    </xf>
    <xf numFmtId="0" fontId="21" fillId="0" borderId="0" xfId="16" applyFont="1" applyAlignment="1" applyProtection="1">
      <alignment vertical="center"/>
      <protection locked="0"/>
    </xf>
    <xf numFmtId="0" fontId="6" fillId="0" borderId="42" xfId="28" applyFont="1" applyFill="1" applyBorder="1" applyAlignment="1" applyProtection="1">
      <alignment vertical="center"/>
    </xf>
    <xf numFmtId="0" fontId="18" fillId="0" borderId="43" xfId="16" applyFont="1" applyBorder="1" applyAlignment="1" applyProtection="1">
      <alignment vertical="center"/>
      <protection locked="0"/>
    </xf>
    <xf numFmtId="0" fontId="6" fillId="0" borderId="26" xfId="28" applyFont="1" applyFill="1" applyBorder="1" applyAlignment="1" applyProtection="1">
      <alignment vertical="center"/>
    </xf>
    <xf numFmtId="0" fontId="8" fillId="0" borderId="1" xfId="24" applyFont="1" applyBorder="1" applyAlignment="1" applyProtection="1">
      <alignment horizontal="center"/>
    </xf>
    <xf numFmtId="0" fontId="8" fillId="0" borderId="10" xfId="24" applyFont="1" applyBorder="1" applyAlignment="1" applyProtection="1">
      <alignment horizontal="center"/>
    </xf>
    <xf numFmtId="14" fontId="9" fillId="8" borderId="1" xfId="20" applyNumberFormat="1" applyFont="1" applyFill="1" applyBorder="1" applyProtection="1">
      <alignment horizontal="center" vertical="center"/>
    </xf>
    <xf numFmtId="0" fontId="6" fillId="5" borderId="10" xfId="20" applyFont="1" applyFill="1" applyBorder="1" applyAlignment="1" applyProtection="1">
      <alignment horizontal="left" vertical="center"/>
      <protection locked="0"/>
    </xf>
    <xf numFmtId="14" fontId="6" fillId="5" borderId="1" xfId="20" applyNumberFormat="1" applyFont="1" applyFill="1" applyBorder="1" applyProtection="1">
      <alignment horizontal="center" vertical="center"/>
      <protection locked="0"/>
    </xf>
    <xf numFmtId="14" fontId="6" fillId="5" borderId="11" xfId="20" applyNumberFormat="1" applyFont="1" applyFill="1" applyBorder="1" applyProtection="1">
      <alignment horizontal="center" vertical="center"/>
      <protection locked="0"/>
    </xf>
    <xf numFmtId="0" fontId="8" fillId="0" borderId="0" xfId="35" applyFont="1" applyBorder="1" applyAlignment="1">
      <alignment horizontal="center" vertical="center" wrapText="1"/>
    </xf>
    <xf numFmtId="0" fontId="13" fillId="19" borderId="44" xfId="15" quotePrefix="1" applyFont="1" applyBorder="1" applyAlignment="1">
      <alignment horizontal="left" vertical="center"/>
    </xf>
    <xf numFmtId="0" fontId="3" fillId="0" borderId="40" xfId="28" applyFont="1" applyBorder="1" applyAlignment="1">
      <alignment vertical="center"/>
    </xf>
    <xf numFmtId="0" fontId="8" fillId="0" borderId="13" xfId="35" applyFont="1" applyBorder="1" applyAlignment="1">
      <alignment horizontal="center" vertical="center" wrapText="1"/>
    </xf>
    <xf numFmtId="0" fontId="8" fillId="0" borderId="14" xfId="35" applyFont="1" applyBorder="1" applyAlignment="1">
      <alignment horizontal="center" vertical="center" wrapText="1"/>
    </xf>
    <xf numFmtId="0" fontId="8" fillId="0" borderId="15" xfId="35" applyFont="1" applyBorder="1" applyAlignment="1">
      <alignment horizontal="center" vertical="center" wrapText="1"/>
    </xf>
    <xf numFmtId="0" fontId="3" fillId="0" borderId="41" xfId="28" applyFont="1" applyBorder="1" applyAlignment="1">
      <alignment vertical="center"/>
    </xf>
    <xf numFmtId="0" fontId="8" fillId="0" borderId="47" xfId="35" applyFont="1" applyBorder="1" applyAlignment="1">
      <alignment horizontal="center" vertical="center" wrapText="1"/>
    </xf>
    <xf numFmtId="0" fontId="24" fillId="0" borderId="0" xfId="28" applyFont="1" applyBorder="1" applyAlignment="1">
      <alignment vertical="center"/>
    </xf>
    <xf numFmtId="0" fontId="9" fillId="8" borderId="10" xfId="20" applyFont="1" applyFill="1" applyBorder="1" applyAlignment="1" applyProtection="1">
      <alignment horizontal="left" vertical="center"/>
    </xf>
    <xf numFmtId="14" fontId="9" fillId="8" borderId="11" xfId="20" applyNumberFormat="1" applyFont="1" applyFill="1" applyBorder="1" applyProtection="1">
      <alignment horizontal="center" vertical="center"/>
    </xf>
    <xf numFmtId="0" fontId="9" fillId="8" borderId="12" xfId="20" applyFont="1" applyFill="1" applyBorder="1" applyAlignment="1" applyProtection="1">
      <alignment horizontal="left" vertical="center"/>
    </xf>
    <xf numFmtId="0" fontId="3" fillId="0" borderId="48" xfId="28" applyFont="1" applyBorder="1" applyAlignment="1">
      <alignment vertical="center"/>
    </xf>
    <xf numFmtId="0" fontId="25" fillId="0" borderId="0" xfId="25" applyFont="1" applyAlignment="1">
      <alignment vertical="center"/>
    </xf>
    <xf numFmtId="0" fontId="9" fillId="8" borderId="1" xfId="20" applyNumberFormat="1" applyFont="1" applyFill="1" applyBorder="1" applyProtection="1">
      <alignment horizontal="center" vertical="center"/>
    </xf>
    <xf numFmtId="0" fontId="9" fillId="8" borderId="10" xfId="20" applyNumberFormat="1" applyFont="1" applyFill="1" applyBorder="1" applyProtection="1">
      <alignment horizontal="center" vertical="center"/>
    </xf>
    <xf numFmtId="0" fontId="3" fillId="5" borderId="49" xfId="25" applyNumberFormat="1" applyFont="1" applyFill="1" applyBorder="1" applyAlignment="1" applyProtection="1">
      <alignment horizontal="center" vertical="center"/>
      <protection locked="0"/>
    </xf>
    <xf numFmtId="0" fontId="3" fillId="5" borderId="10" xfId="25" applyNumberFormat="1" applyFont="1" applyFill="1" applyBorder="1" applyAlignment="1" applyProtection="1">
      <alignment horizontal="center" vertical="center"/>
      <protection locked="0"/>
    </xf>
    <xf numFmtId="0" fontId="6" fillId="0" borderId="50" xfId="28" applyFont="1" applyFill="1" applyBorder="1" applyAlignment="1" applyProtection="1">
      <alignment vertical="center"/>
    </xf>
    <xf numFmtId="0" fontId="3" fillId="0" borderId="51" xfId="0" applyFont="1" applyBorder="1" applyAlignment="1" applyProtection="1">
      <alignment vertical="center"/>
    </xf>
    <xf numFmtId="0" fontId="3" fillId="0" borderId="52" xfId="0" applyFont="1" applyBorder="1" applyAlignment="1" applyProtection="1">
      <alignment vertical="center"/>
    </xf>
    <xf numFmtId="0" fontId="3" fillId="0" borderId="52" xfId="0" applyFont="1" applyFill="1" applyBorder="1" applyAlignment="1" applyProtection="1">
      <alignment vertical="center"/>
    </xf>
    <xf numFmtId="0" fontId="3" fillId="0" borderId="53" xfId="0" applyFont="1" applyFill="1" applyBorder="1" applyAlignment="1" applyProtection="1">
      <alignment vertical="center"/>
    </xf>
    <xf numFmtId="0" fontId="6" fillId="0" borderId="26" xfId="28" applyFont="1" applyFill="1" applyBorder="1" applyAlignment="1" applyProtection="1">
      <alignment horizontal="left" vertical="center" indent="2"/>
    </xf>
    <xf numFmtId="0" fontId="6" fillId="0" borderId="28" xfId="28" applyFont="1" applyFill="1" applyBorder="1" applyAlignment="1" applyProtection="1">
      <alignment horizontal="left" vertical="center" indent="2"/>
    </xf>
    <xf numFmtId="0" fontId="3" fillId="5" borderId="1" xfId="25" applyNumberFormat="1" applyFont="1" applyFill="1" applyBorder="1" applyAlignment="1" applyProtection="1">
      <alignment horizontal="center" vertical="center"/>
      <protection locked="0"/>
    </xf>
    <xf numFmtId="0" fontId="3" fillId="0" borderId="0" xfId="25" applyFont="1"/>
    <xf numFmtId="0" fontId="3" fillId="7" borderId="0" xfId="25" applyFont="1" applyFill="1"/>
    <xf numFmtId="0" fontId="13" fillId="9" borderId="0" xfId="15" applyFont="1" applyFill="1" applyBorder="1" applyAlignment="1">
      <alignment horizontal="left" vertical="top"/>
    </xf>
    <xf numFmtId="0" fontId="3" fillId="0" borderId="42" xfId="25" applyFont="1" applyBorder="1"/>
    <xf numFmtId="0" fontId="3" fillId="0" borderId="0" xfId="25" applyFont="1" applyBorder="1"/>
    <xf numFmtId="0" fontId="3" fillId="0" borderId="47" xfId="25" applyFont="1" applyBorder="1"/>
    <xf numFmtId="0" fontId="3" fillId="0" borderId="42" xfId="25" applyFont="1" applyBorder="1" applyAlignment="1">
      <alignment wrapText="1"/>
    </xf>
    <xf numFmtId="0" fontId="3" fillId="0" borderId="0" xfId="25" applyFont="1" applyBorder="1" applyAlignment="1">
      <alignment wrapText="1"/>
    </xf>
    <xf numFmtId="0" fontId="3" fillId="0" borderId="47" xfId="25" applyFont="1" applyBorder="1" applyAlignment="1">
      <alignment wrapText="1"/>
    </xf>
    <xf numFmtId="0" fontId="3" fillId="5" borderId="11" xfId="25" applyNumberFormat="1" applyFont="1" applyFill="1" applyBorder="1" applyAlignment="1" applyProtection="1">
      <alignment horizontal="center" vertical="center"/>
      <protection locked="0"/>
    </xf>
    <xf numFmtId="0" fontId="9" fillId="8" borderId="1" xfId="20" applyNumberFormat="1" applyFont="1" applyFill="1" applyBorder="1" applyAlignment="1" applyProtection="1">
      <alignment horizontal="center" vertical="center"/>
    </xf>
    <xf numFmtId="0" fontId="9" fillId="8" borderId="11" xfId="20" applyNumberFormat="1" applyFont="1" applyFill="1" applyBorder="1" applyAlignment="1" applyProtection="1">
      <alignment horizontal="center" vertical="center"/>
    </xf>
    <xf numFmtId="0" fontId="9" fillId="8" borderId="1" xfId="20" applyNumberFormat="1" applyFont="1" applyFill="1" applyBorder="1" applyAlignment="1" applyProtection="1">
      <alignment horizontal="center" vertical="center" wrapText="1"/>
    </xf>
    <xf numFmtId="0" fontId="9" fillId="8" borderId="6" xfId="20" applyNumberFormat="1" applyFont="1" applyFill="1" applyBorder="1" applyAlignment="1" applyProtection="1">
      <alignment horizontal="center" vertical="center" wrapText="1"/>
    </xf>
    <xf numFmtId="0" fontId="3" fillId="0" borderId="0" xfId="0" applyFont="1" applyAlignment="1" applyProtection="1">
      <alignment horizontal="center" vertical="center"/>
    </xf>
    <xf numFmtId="0" fontId="3" fillId="0" borderId="0" xfId="0" applyFont="1" applyAlignment="1" applyProtection="1">
      <alignment vertical="center" wrapText="1"/>
    </xf>
    <xf numFmtId="0" fontId="3" fillId="0" borderId="0" xfId="0" applyFont="1" applyAlignment="1" applyProtection="1">
      <alignment horizontal="center" vertical="center" wrapText="1"/>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7" borderId="0" xfId="0" applyFont="1" applyFill="1" applyAlignment="1" applyProtection="1">
      <alignment vertical="center"/>
    </xf>
    <xf numFmtId="0" fontId="13" fillId="19" borderId="31" xfId="15" applyFont="1" applyBorder="1" applyAlignment="1" applyProtection="1">
      <alignment vertical="center"/>
    </xf>
    <xf numFmtId="0" fontId="0" fillId="0" borderId="0" xfId="0" applyProtection="1"/>
    <xf numFmtId="0" fontId="3" fillId="0" borderId="0" xfId="25" applyFont="1" applyAlignment="1" applyProtection="1">
      <alignment vertical="center"/>
    </xf>
    <xf numFmtId="0" fontId="8" fillId="0" borderId="0" xfId="0" applyFont="1" applyProtection="1"/>
    <xf numFmtId="0" fontId="4" fillId="0" borderId="55" xfId="0" applyFont="1" applyBorder="1" applyAlignment="1" applyProtection="1">
      <alignment horizontal="center" vertical="center"/>
    </xf>
    <xf numFmtId="0" fontId="3" fillId="0" borderId="35" xfId="0" applyFont="1" applyBorder="1" applyAlignment="1" applyProtection="1">
      <alignment horizontal="center" vertical="center"/>
    </xf>
    <xf numFmtId="0" fontId="3" fillId="0" borderId="0" xfId="0" applyFont="1" applyProtection="1"/>
    <xf numFmtId="0" fontId="3" fillId="0" borderId="55" xfId="0" applyFont="1" applyBorder="1" applyAlignment="1" applyProtection="1">
      <alignment horizontal="center" vertical="center"/>
    </xf>
    <xf numFmtId="0" fontId="3" fillId="0" borderId="0" xfId="0" applyFont="1" applyBorder="1" applyAlignment="1" applyProtection="1">
      <alignment horizontal="center" vertical="center"/>
    </xf>
    <xf numFmtId="0" fontId="3" fillId="7" borderId="0" xfId="0" applyFont="1" applyFill="1" applyBorder="1" applyAlignment="1" applyProtection="1">
      <alignment horizontal="center" vertical="center"/>
    </xf>
    <xf numFmtId="0" fontId="3" fillId="7" borderId="0" xfId="0" applyFont="1" applyFill="1" applyBorder="1" applyAlignment="1" applyProtection="1">
      <alignment horizontal="center" vertical="center" wrapText="1"/>
    </xf>
    <xf numFmtId="0" fontId="8" fillId="7" borderId="0" xfId="0" applyFont="1" applyFill="1" applyBorder="1" applyAlignment="1" applyProtection="1">
      <alignment horizontal="center" vertical="center" wrapText="1"/>
    </xf>
    <xf numFmtId="0" fontId="3" fillId="7" borderId="0" xfId="0" applyFont="1" applyFill="1" applyProtection="1"/>
    <xf numFmtId="0" fontId="3" fillId="7" borderId="0" xfId="0" applyFont="1" applyFill="1" applyAlignment="1" applyProtection="1">
      <alignment horizontal="center" vertical="center"/>
    </xf>
    <xf numFmtId="0" fontId="3" fillId="0" borderId="0" xfId="0" applyFont="1" applyAlignment="1" applyProtection="1">
      <alignment horizontal="center"/>
    </xf>
    <xf numFmtId="0" fontId="3" fillId="0" borderId="0" xfId="0" applyFont="1" applyAlignment="1" applyProtection="1">
      <alignment wrapText="1"/>
    </xf>
    <xf numFmtId="0" fontId="13" fillId="19" borderId="30" xfId="15" applyFont="1" applyBorder="1" applyAlignment="1" applyProtection="1">
      <alignment vertical="center"/>
    </xf>
    <xf numFmtId="0" fontId="13" fillId="19" borderId="44" xfId="15" applyFont="1" applyBorder="1" applyAlignment="1" applyProtection="1">
      <alignment vertical="center"/>
    </xf>
    <xf numFmtId="0" fontId="0" fillId="7" borderId="0" xfId="0" applyFill="1" applyProtection="1"/>
    <xf numFmtId="0" fontId="3" fillId="7" borderId="0" xfId="0" applyFont="1" applyFill="1" applyAlignment="1" applyProtection="1">
      <alignment horizontal="center"/>
    </xf>
    <xf numFmtId="0" fontId="3" fillId="7" borderId="0" xfId="0" applyFont="1" applyFill="1" applyAlignment="1" applyProtection="1">
      <alignment horizontal="left"/>
    </xf>
    <xf numFmtId="0" fontId="4" fillId="0" borderId="0" xfId="0" applyFont="1" applyAlignment="1" applyProtection="1">
      <alignment wrapText="1"/>
    </xf>
    <xf numFmtId="0" fontId="4" fillId="0" borderId="0" xfId="0" applyFont="1" applyAlignment="1" applyProtection="1">
      <alignment horizontal="center" wrapText="1"/>
    </xf>
    <xf numFmtId="0" fontId="4" fillId="7" borderId="0" xfId="0" applyFont="1" applyFill="1" applyAlignment="1" applyProtection="1">
      <alignment wrapText="1"/>
    </xf>
    <xf numFmtId="0" fontId="3" fillId="0" borderId="0" xfId="0" applyFont="1" applyAlignment="1" applyProtection="1">
      <alignment horizontal="left"/>
    </xf>
    <xf numFmtId="0" fontId="3" fillId="0" borderId="0" xfId="0" applyFont="1" applyFill="1" applyBorder="1" applyAlignment="1" applyProtection="1">
      <alignment horizontal="left" wrapText="1"/>
    </xf>
    <xf numFmtId="0" fontId="3" fillId="7" borderId="0" xfId="25" applyFont="1" applyFill="1" applyAlignment="1" applyProtection="1">
      <alignment vertical="center"/>
    </xf>
    <xf numFmtId="0" fontId="26" fillId="0" borderId="0" xfId="25" applyFont="1" applyAlignment="1" applyProtection="1">
      <alignment vertical="center"/>
    </xf>
    <xf numFmtId="0" fontId="3" fillId="7" borderId="0" xfId="25" quotePrefix="1" applyFont="1" applyFill="1" applyAlignment="1" applyProtection="1">
      <alignment vertical="center"/>
    </xf>
    <xf numFmtId="0" fontId="3" fillId="0" borderId="0" xfId="25" quotePrefix="1" applyFont="1" applyAlignment="1" applyProtection="1">
      <alignment vertical="center"/>
    </xf>
    <xf numFmtId="0" fontId="3" fillId="0" borderId="0" xfId="25" applyFont="1" applyBorder="1" applyAlignment="1" applyProtection="1">
      <alignment vertical="center"/>
    </xf>
    <xf numFmtId="0" fontId="6" fillId="9" borderId="59" xfId="28" applyFont="1" applyFill="1" applyBorder="1" applyAlignment="1" applyProtection="1">
      <alignment horizontal="left" vertical="center" indent="2"/>
    </xf>
    <xf numFmtId="0" fontId="13" fillId="19" borderId="30" xfId="15" applyFont="1" applyBorder="1" applyAlignment="1" applyProtection="1">
      <alignment horizontal="left" vertical="center"/>
    </xf>
    <xf numFmtId="0" fontId="13" fillId="19" borderId="31" xfId="15" applyFont="1" applyBorder="1" applyAlignment="1" applyProtection="1">
      <alignment horizontal="left" vertical="center"/>
    </xf>
    <xf numFmtId="0" fontId="6" fillId="0" borderId="33" xfId="28" applyFont="1" applyFill="1" applyBorder="1" applyAlignment="1" applyProtection="1">
      <alignment vertical="center"/>
    </xf>
    <xf numFmtId="0" fontId="18" fillId="0" borderId="27" xfId="16" applyFont="1" applyBorder="1" applyAlignment="1" applyProtection="1">
      <alignment vertical="center"/>
      <protection locked="0"/>
    </xf>
    <xf numFmtId="0" fontId="6" fillId="0" borderId="28" xfId="28" applyFont="1" applyFill="1" applyBorder="1" applyAlignment="1" applyProtection="1">
      <alignment vertical="center"/>
    </xf>
    <xf numFmtId="0" fontId="18" fillId="0" borderId="29" xfId="16" applyFont="1" applyBorder="1" applyAlignment="1" applyProtection="1">
      <alignment vertical="center"/>
      <protection locked="0"/>
    </xf>
    <xf numFmtId="0" fontId="8" fillId="0" borderId="35" xfId="35" applyFont="1" applyBorder="1" applyAlignment="1">
      <alignment horizontal="center" vertical="center" wrapText="1"/>
    </xf>
    <xf numFmtId="0" fontId="6" fillId="5" borderId="3" xfId="20" applyFont="1" applyFill="1" applyBorder="1" applyAlignment="1" applyProtection="1">
      <alignment horizontal="left" vertical="top" wrapText="1"/>
      <protection locked="0"/>
    </xf>
    <xf numFmtId="0" fontId="6" fillId="5" borderId="1" xfId="20" applyFont="1" applyFill="1" applyBorder="1" applyAlignment="1" applyProtection="1">
      <alignment horizontal="left" vertical="top" wrapText="1"/>
      <protection locked="0"/>
    </xf>
    <xf numFmtId="0" fontId="6" fillId="5" borderId="4" xfId="20" applyFont="1" applyFill="1" applyBorder="1" applyAlignment="1" applyProtection="1">
      <alignment horizontal="left" vertical="top" wrapText="1"/>
      <protection locked="0"/>
    </xf>
    <xf numFmtId="0" fontId="6" fillId="5" borderId="11" xfId="20" applyFont="1" applyFill="1" applyBorder="1" applyAlignment="1" applyProtection="1">
      <alignment horizontal="left" vertical="top" wrapText="1"/>
      <protection locked="0"/>
    </xf>
    <xf numFmtId="0" fontId="3" fillId="0" borderId="0" xfId="28" applyFont="1" applyAlignment="1" applyProtection="1">
      <alignment vertical="center"/>
    </xf>
    <xf numFmtId="0" fontId="3" fillId="7" borderId="0" xfId="28" applyFont="1" applyFill="1" applyAlignment="1" applyProtection="1">
      <alignment vertical="center"/>
    </xf>
    <xf numFmtId="0" fontId="13" fillId="19" borderId="30" xfId="15" quotePrefix="1" applyFont="1" applyBorder="1" applyAlignment="1" applyProtection="1">
      <alignment vertical="center"/>
    </xf>
    <xf numFmtId="0" fontId="3" fillId="0" borderId="0" xfId="25" applyFont="1" applyFill="1" applyBorder="1" applyAlignment="1" applyProtection="1">
      <alignment vertical="center"/>
    </xf>
    <xf numFmtId="0" fontId="3" fillId="0" borderId="0" xfId="28" applyFont="1"/>
    <xf numFmtId="0" fontId="3" fillId="7" borderId="0" xfId="28" applyFont="1" applyFill="1"/>
    <xf numFmtId="0" fontId="21" fillId="0" borderId="0" xfId="16" applyFont="1" applyAlignment="1" applyProtection="1">
      <protection locked="0"/>
    </xf>
    <xf numFmtId="0" fontId="3" fillId="0" borderId="47" xfId="28" applyFont="1" applyBorder="1"/>
    <xf numFmtId="0" fontId="4" fillId="0" borderId="0" xfId="0" applyFont="1" applyAlignment="1" applyProtection="1">
      <alignment horizontal="center" vertical="center"/>
    </xf>
    <xf numFmtId="0" fontId="18" fillId="0" borderId="60" xfId="16" applyFont="1" applyBorder="1" applyAlignment="1" applyProtection="1">
      <alignment vertical="center"/>
      <protection locked="0"/>
    </xf>
    <xf numFmtId="164" fontId="15" fillId="0" borderId="61" xfId="28" applyNumberFormat="1" applyFont="1" applyBorder="1" applyAlignment="1">
      <alignment horizontal="center" wrapText="1"/>
    </xf>
    <xf numFmtId="165" fontId="3" fillId="0" borderId="1" xfId="0" applyNumberFormat="1" applyFont="1" applyBorder="1" applyAlignment="1">
      <alignment horizontal="center" vertical="center"/>
    </xf>
    <xf numFmtId="0" fontId="9" fillId="8" borderId="1" xfId="32" applyNumberFormat="1" applyFont="1" applyFill="1" applyBorder="1" applyAlignment="1" applyProtection="1">
      <alignment horizontal="center" vertical="center" wrapText="1"/>
    </xf>
    <xf numFmtId="0" fontId="3" fillId="5" borderId="1" xfId="32" applyNumberFormat="1" applyFont="1" applyFill="1" applyBorder="1" applyAlignment="1" applyProtection="1">
      <alignment horizontal="center" vertical="center"/>
      <protection locked="0"/>
    </xf>
    <xf numFmtId="0" fontId="3" fillId="5" borderId="62" xfId="32" applyNumberFormat="1" applyFont="1" applyFill="1" applyBorder="1" applyAlignment="1" applyProtection="1">
      <alignment horizontal="center" vertical="center"/>
      <protection locked="0"/>
    </xf>
    <xf numFmtId="0" fontId="3" fillId="0" borderId="1" xfId="32" applyNumberFormat="1" applyFont="1" applyBorder="1" applyAlignment="1">
      <alignment horizontal="center" vertical="center"/>
    </xf>
    <xf numFmtId="0" fontId="3" fillId="5" borderId="62" xfId="25" applyNumberFormat="1" applyFont="1" applyFill="1" applyBorder="1" applyAlignment="1" applyProtection="1">
      <alignment horizontal="center" vertical="center"/>
      <protection locked="0"/>
    </xf>
    <xf numFmtId="0" fontId="3" fillId="5" borderId="65" xfId="25" applyNumberFormat="1" applyFont="1" applyFill="1" applyBorder="1" applyAlignment="1" applyProtection="1">
      <alignment horizontal="center" vertical="center"/>
      <protection locked="0"/>
    </xf>
    <xf numFmtId="0" fontId="3" fillId="7" borderId="0" xfId="0" applyFont="1" applyFill="1"/>
    <xf numFmtId="0" fontId="3" fillId="7" borderId="0" xfId="0" applyFont="1" applyFill="1" applyAlignment="1">
      <alignment horizontal="center"/>
    </xf>
    <xf numFmtId="0" fontId="9" fillId="8" borderId="62" xfId="20" applyNumberFormat="1" applyFont="1" applyFill="1" applyBorder="1" applyAlignment="1" applyProtection="1">
      <alignment horizontal="center" vertical="center" wrapText="1"/>
    </xf>
    <xf numFmtId="164" fontId="15" fillId="0" borderId="40" xfId="28" applyNumberFormat="1" applyFont="1" applyBorder="1" applyAlignment="1">
      <alignment horizontal="center" wrapText="1"/>
    </xf>
    <xf numFmtId="0" fontId="8" fillId="24" borderId="30" xfId="0" applyFont="1" applyFill="1" applyBorder="1" applyAlignment="1">
      <alignment horizontal="left"/>
    </xf>
    <xf numFmtId="0" fontId="3" fillId="24" borderId="44" xfId="0" applyFont="1" applyFill="1" applyBorder="1" applyAlignment="1">
      <alignment horizontal="centerContinuous"/>
    </xf>
    <xf numFmtId="0" fontId="3" fillId="24" borderId="31" xfId="0" applyFont="1" applyFill="1" applyBorder="1" applyAlignment="1">
      <alignment horizontal="centerContinuous"/>
    </xf>
    <xf numFmtId="0" fontId="9" fillId="25" borderId="1" xfId="20" applyNumberFormat="1" applyFont="1" applyFill="1" applyBorder="1" applyAlignment="1" applyProtection="1">
      <alignment horizontal="center" vertical="center" wrapText="1"/>
    </xf>
    <xf numFmtId="0" fontId="34" fillId="25" borderId="10" xfId="0" applyFont="1" applyFill="1" applyBorder="1" applyAlignment="1">
      <alignment horizontal="center"/>
    </xf>
    <xf numFmtId="0" fontId="34" fillId="25" borderId="12" xfId="0" applyFont="1" applyFill="1" applyBorder="1" applyAlignment="1">
      <alignment horizont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0" xfId="0" applyFont="1"/>
    <xf numFmtId="0" fontId="8" fillId="7" borderId="0" xfId="0" applyFont="1" applyFill="1"/>
    <xf numFmtId="0" fontId="8" fillId="0" borderId="0" xfId="0" applyFont="1" applyBorder="1"/>
    <xf numFmtId="0" fontId="8" fillId="0" borderId="4" xfId="0" applyFont="1" applyBorder="1" applyAlignment="1">
      <alignment horizontal="center" vertical="center"/>
    </xf>
    <xf numFmtId="0" fontId="8" fillId="0" borderId="12" xfId="0" applyFont="1" applyBorder="1" applyAlignment="1">
      <alignment horizontal="center" vertical="center"/>
    </xf>
    <xf numFmtId="14" fontId="17" fillId="0" borderId="0" xfId="28" applyNumberFormat="1" applyFont="1" applyBorder="1" applyAlignment="1" applyProtection="1">
      <alignment horizontal="left" vertical="center"/>
    </xf>
    <xf numFmtId="0" fontId="17" fillId="0" borderId="0" xfId="28" applyFont="1" applyBorder="1" applyAlignment="1" applyProtection="1">
      <alignment vertical="center"/>
    </xf>
    <xf numFmtId="14" fontId="17" fillId="0" borderId="0" xfId="28" applyNumberFormat="1" applyFont="1" applyBorder="1" applyAlignment="1">
      <alignment horizontal="left"/>
    </xf>
    <xf numFmtId="0" fontId="17" fillId="0" borderId="0" xfId="28" applyFont="1" applyBorder="1" applyAlignment="1"/>
    <xf numFmtId="0" fontId="30" fillId="0" borderId="83" xfId="28" applyFont="1" applyBorder="1"/>
    <xf numFmtId="0" fontId="49" fillId="0" borderId="84" xfId="28" applyFont="1" applyBorder="1" applyAlignment="1">
      <alignment horizontal="left"/>
    </xf>
    <xf numFmtId="0" fontId="30" fillId="0" borderId="85" xfId="28" applyFont="1" applyBorder="1"/>
    <xf numFmtId="0" fontId="30" fillId="0" borderId="86" xfId="28" applyNumberFormat="1" applyFont="1" applyBorder="1" applyAlignment="1">
      <alignment horizontal="left"/>
    </xf>
    <xf numFmtId="14" fontId="30" fillId="0" borderId="86" xfId="28" applyNumberFormat="1" applyFont="1" applyBorder="1" applyAlignment="1">
      <alignment horizontal="left"/>
    </xf>
    <xf numFmtId="0" fontId="30" fillId="0" borderId="85" xfId="28" applyNumberFormat="1" applyFont="1" applyBorder="1"/>
    <xf numFmtId="0" fontId="49" fillId="0" borderId="86" xfId="28" applyFont="1" applyBorder="1" applyAlignment="1">
      <alignment horizontal="left"/>
    </xf>
    <xf numFmtId="0" fontId="30" fillId="0" borderId="87" xfId="28" applyFont="1" applyBorder="1" applyAlignment="1">
      <alignment horizontal="left" vertical="center"/>
    </xf>
    <xf numFmtId="0" fontId="30" fillId="0" borderId="88" xfId="28" applyNumberFormat="1" applyFont="1" applyBorder="1" applyAlignment="1">
      <alignment horizontal="left" vertical="center" wrapText="1"/>
    </xf>
    <xf numFmtId="0" fontId="30" fillId="0" borderId="89" xfId="28" applyFont="1" applyBorder="1"/>
    <xf numFmtId="14" fontId="30" fillId="0" borderId="90" xfId="28" applyNumberFormat="1" applyFont="1" applyBorder="1" applyAlignment="1">
      <alignment horizontal="left"/>
    </xf>
    <xf numFmtId="0" fontId="13" fillId="0" borderId="0" xfId="15" applyFont="1" applyFill="1" applyBorder="1" applyAlignment="1">
      <alignment horizontal="left" vertical="center"/>
    </xf>
    <xf numFmtId="0" fontId="17" fillId="0" borderId="0" xfId="28" applyFont="1" applyFill="1" applyBorder="1" applyAlignment="1"/>
    <xf numFmtId="164" fontId="17" fillId="0" borderId="0" xfId="28" applyNumberFormat="1" applyFont="1" applyFill="1" applyBorder="1" applyAlignment="1">
      <alignment horizontal="left"/>
    </xf>
    <xf numFmtId="14" fontId="17" fillId="0" borderId="0" xfId="28" applyNumberFormat="1" applyFont="1" applyFill="1" applyBorder="1" applyAlignment="1">
      <alignment horizontal="left"/>
    </xf>
    <xf numFmtId="0" fontId="30" fillId="0" borderId="83" xfId="28" applyFont="1" applyBorder="1" applyAlignment="1">
      <alignment wrapText="1"/>
    </xf>
    <xf numFmtId="0" fontId="49" fillId="0" borderId="84" xfId="28" applyFont="1" applyBorder="1" applyAlignment="1">
      <alignment horizontal="left" wrapText="1"/>
    </xf>
    <xf numFmtId="0" fontId="30" fillId="0" borderId="85" xfId="28" applyFont="1" applyBorder="1" applyAlignment="1">
      <alignment wrapText="1"/>
    </xf>
    <xf numFmtId="0" fontId="30" fillId="0" borderId="86" xfId="28" applyNumberFormat="1" applyFont="1" applyBorder="1" applyAlignment="1">
      <alignment horizontal="left" wrapText="1"/>
    </xf>
    <xf numFmtId="14" fontId="30" fillId="0" borderId="86" xfId="28" applyNumberFormat="1" applyFont="1" applyBorder="1" applyAlignment="1">
      <alignment horizontal="left" wrapText="1"/>
    </xf>
    <xf numFmtId="0" fontId="30" fillId="0" borderId="85" xfId="28" applyNumberFormat="1" applyFont="1" applyBorder="1" applyAlignment="1">
      <alignment wrapText="1"/>
    </xf>
    <xf numFmtId="0" fontId="49" fillId="0" borderId="86" xfId="28" applyFont="1" applyBorder="1" applyAlignment="1">
      <alignment horizontal="left" wrapText="1"/>
    </xf>
    <xf numFmtId="0" fontId="30" fillId="0" borderId="87" xfId="28" applyFont="1" applyBorder="1" applyAlignment="1">
      <alignment horizontal="left" vertical="center" wrapText="1"/>
    </xf>
    <xf numFmtId="0" fontId="30" fillId="0" borderId="89" xfId="28" applyFont="1" applyBorder="1" applyAlignment="1">
      <alignment wrapText="1"/>
    </xf>
    <xf numFmtId="14" fontId="30" fillId="0" borderId="90" xfId="28" applyNumberFormat="1" applyFont="1" applyBorder="1" applyAlignment="1">
      <alignment horizontal="left" wrapText="1"/>
    </xf>
    <xf numFmtId="0" fontId="13" fillId="0" borderId="0" xfId="15" applyFont="1" applyFill="1" applyBorder="1" applyAlignment="1" applyProtection="1">
      <alignment vertical="center"/>
    </xf>
    <xf numFmtId="164" fontId="17" fillId="0" borderId="0" xfId="28" applyNumberFormat="1" applyFont="1" applyFill="1" applyBorder="1" applyAlignment="1" applyProtection="1">
      <alignment horizontal="left" vertical="center"/>
    </xf>
    <xf numFmtId="164" fontId="3" fillId="0" borderId="0" xfId="25" applyNumberFormat="1" applyFont="1" applyFill="1" applyBorder="1" applyAlignment="1" applyProtection="1">
      <alignment vertical="center"/>
    </xf>
    <xf numFmtId="14" fontId="17" fillId="0" borderId="0" xfId="28" applyNumberFormat="1" applyFont="1" applyFill="1" applyBorder="1" applyAlignment="1" applyProtection="1">
      <alignment horizontal="left" vertical="center"/>
    </xf>
    <xf numFmtId="0" fontId="17" fillId="0" borderId="0" xfId="28" applyFont="1" applyFill="1" applyBorder="1" applyAlignment="1" applyProtection="1">
      <alignment vertical="center"/>
    </xf>
    <xf numFmtId="0" fontId="17" fillId="0" borderId="0" xfId="28" applyFont="1" applyFill="1" applyBorder="1" applyAlignment="1" applyProtection="1">
      <alignment vertical="center" wrapText="1"/>
    </xf>
    <xf numFmtId="0" fontId="30" fillId="0" borderId="83" xfId="28" applyFont="1" applyBorder="1" applyAlignment="1">
      <alignment vertical="center" wrapText="1"/>
    </xf>
    <xf numFmtId="0" fontId="30" fillId="0" borderId="85" xfId="28" applyFont="1" applyBorder="1" applyAlignment="1">
      <alignment vertical="center" wrapText="1"/>
    </xf>
    <xf numFmtId="0" fontId="30" fillId="0" borderId="85" xfId="28" applyNumberFormat="1" applyFont="1" applyBorder="1" applyAlignment="1">
      <alignment vertical="center" wrapText="1"/>
    </xf>
    <xf numFmtId="0" fontId="30" fillId="0" borderId="89" xfId="28" applyFont="1" applyBorder="1" applyAlignment="1">
      <alignment vertical="center" wrapText="1"/>
    </xf>
    <xf numFmtId="0" fontId="49" fillId="0" borderId="84" xfId="28" applyFont="1" applyBorder="1" applyAlignment="1">
      <alignment horizontal="left" vertical="center" wrapText="1"/>
    </xf>
    <xf numFmtId="0" fontId="30" fillId="0" borderId="86" xfId="28" applyNumberFormat="1" applyFont="1" applyBorder="1" applyAlignment="1">
      <alignment horizontal="left" vertical="center" wrapText="1"/>
    </xf>
    <xf numFmtId="14" fontId="30" fillId="0" borderId="86" xfId="28" applyNumberFormat="1" applyFont="1" applyBorder="1" applyAlignment="1">
      <alignment horizontal="left" vertical="center" wrapText="1"/>
    </xf>
    <xf numFmtId="0" fontId="49" fillId="0" borderId="86" xfId="28" applyFont="1" applyBorder="1" applyAlignment="1">
      <alignment horizontal="left" vertical="center" wrapText="1"/>
    </xf>
    <xf numFmtId="14" fontId="30" fillId="0" borderId="90" xfId="28" applyNumberFormat="1" applyFont="1" applyBorder="1" applyAlignment="1">
      <alignment horizontal="left" vertical="center" wrapText="1"/>
    </xf>
    <xf numFmtId="0" fontId="30" fillId="0" borderId="85" xfId="28" applyFont="1" applyBorder="1" applyAlignment="1">
      <alignment vertical="center"/>
    </xf>
    <xf numFmtId="0" fontId="30" fillId="0" borderId="85" xfId="28" applyNumberFormat="1" applyFont="1" applyBorder="1" applyAlignment="1">
      <alignment vertical="center"/>
    </xf>
    <xf numFmtId="0" fontId="30" fillId="0" borderId="91" xfId="28" applyFont="1" applyBorder="1" applyAlignment="1">
      <alignment vertical="center"/>
    </xf>
    <xf numFmtId="0" fontId="49" fillId="0" borderId="92" xfId="28" applyFont="1" applyBorder="1" applyAlignment="1">
      <alignment horizontal="left" vertical="center" wrapText="1"/>
    </xf>
    <xf numFmtId="0" fontId="30" fillId="0" borderId="89" xfId="28" applyFont="1" applyBorder="1" applyAlignment="1">
      <alignment horizontal="left" vertical="center"/>
    </xf>
    <xf numFmtId="0" fontId="30" fillId="0" borderId="90" xfId="28" applyNumberFormat="1" applyFont="1" applyBorder="1" applyAlignment="1">
      <alignment horizontal="left" vertical="center" wrapText="1"/>
    </xf>
    <xf numFmtId="0" fontId="3" fillId="0" borderId="40" xfId="25" applyNumberFormat="1" applyFont="1" applyBorder="1" applyAlignment="1" applyProtection="1">
      <alignment vertical="center"/>
    </xf>
    <xf numFmtId="0" fontId="8" fillId="0" borderId="6" xfId="25" applyNumberFormat="1" applyFont="1" applyFill="1" applyBorder="1" applyAlignment="1" applyProtection="1">
      <alignment horizontal="center" vertical="center" wrapText="1"/>
    </xf>
    <xf numFmtId="0" fontId="3" fillId="0" borderId="0" xfId="25" applyNumberFormat="1" applyFont="1" applyBorder="1" applyAlignment="1" applyProtection="1">
      <alignment vertical="center"/>
    </xf>
    <xf numFmtId="0" fontId="0" fillId="0" borderId="0" xfId="0" applyNumberFormat="1" applyProtection="1"/>
    <xf numFmtId="0" fontId="3" fillId="0" borderId="0" xfId="25" applyNumberFormat="1" applyFont="1" applyBorder="1" applyAlignment="1" applyProtection="1">
      <alignment horizontal="center" vertical="center"/>
    </xf>
    <xf numFmtId="0" fontId="13" fillId="19" borderId="30" xfId="15" applyNumberFormat="1" applyFont="1" applyBorder="1" applyAlignment="1" applyProtection="1">
      <alignment vertical="center"/>
    </xf>
    <xf numFmtId="0" fontId="13" fillId="19" borderId="31" xfId="15" applyNumberFormat="1" applyFont="1" applyBorder="1" applyAlignment="1" applyProtection="1">
      <alignment vertical="center"/>
    </xf>
    <xf numFmtId="0" fontId="13" fillId="19" borderId="44" xfId="15" applyNumberFormat="1" applyFont="1" applyBorder="1" applyAlignment="1" applyProtection="1">
      <alignment vertical="center"/>
    </xf>
    <xf numFmtId="0" fontId="0" fillId="0" borderId="0" xfId="0" applyNumberFormat="1"/>
    <xf numFmtId="0" fontId="8" fillId="0" borderId="14" xfId="0" applyNumberFormat="1" applyFont="1" applyBorder="1" applyAlignment="1" applyProtection="1">
      <alignment horizontal="center"/>
    </xf>
    <xf numFmtId="0" fontId="8" fillId="0" borderId="15" xfId="0" applyNumberFormat="1" applyFont="1" applyBorder="1" applyAlignment="1" applyProtection="1">
      <alignment horizontal="center"/>
    </xf>
    <xf numFmtId="0" fontId="3" fillId="0" borderId="57" xfId="0" applyNumberFormat="1" applyFont="1" applyBorder="1" applyAlignment="1" applyProtection="1">
      <alignment horizontal="center" vertical="center"/>
    </xf>
    <xf numFmtId="0" fontId="3" fillId="0" borderId="57" xfId="0" applyNumberFormat="1" applyFont="1" applyBorder="1" applyAlignment="1" applyProtection="1">
      <alignment horizontal="center"/>
    </xf>
    <xf numFmtId="0" fontId="3" fillId="0" borderId="64" xfId="0" applyNumberFormat="1" applyFont="1" applyBorder="1" applyAlignment="1" applyProtection="1">
      <alignment horizontal="center"/>
    </xf>
    <xf numFmtId="0" fontId="3" fillId="0" borderId="48" xfId="25" applyNumberFormat="1" applyFont="1" applyBorder="1" applyAlignment="1" applyProtection="1">
      <alignment vertical="center"/>
    </xf>
    <xf numFmtId="0" fontId="3" fillId="0" borderId="41" xfId="25" applyNumberFormat="1" applyFont="1" applyBorder="1" applyAlignment="1" applyProtection="1">
      <alignment vertical="center"/>
    </xf>
    <xf numFmtId="0" fontId="3" fillId="0" borderId="58" xfId="0" applyNumberFormat="1" applyFont="1" applyBorder="1" applyAlignment="1" applyProtection="1">
      <alignment horizontal="center" vertical="center"/>
    </xf>
    <xf numFmtId="0" fontId="8" fillId="0" borderId="14" xfId="0" applyNumberFormat="1" applyFont="1" applyBorder="1" applyAlignment="1" applyProtection="1">
      <alignment horizontal="center" vertical="center"/>
    </xf>
    <xf numFmtId="0" fontId="3" fillId="0" borderId="0" xfId="0" applyNumberFormat="1" applyFont="1" applyAlignment="1" applyProtection="1">
      <alignment horizontal="center"/>
    </xf>
    <xf numFmtId="0" fontId="3" fillId="0" borderId="40" xfId="0" applyNumberFormat="1" applyFont="1" applyBorder="1" applyAlignment="1" applyProtection="1">
      <alignment horizontal="center" wrapText="1"/>
    </xf>
    <xf numFmtId="0" fontId="3" fillId="0" borderId="41" xfId="0" applyNumberFormat="1" applyFont="1" applyBorder="1" applyAlignment="1" applyProtection="1">
      <alignment horizontal="center" wrapText="1"/>
    </xf>
    <xf numFmtId="0" fontId="0" fillId="0" borderId="0" xfId="0" applyNumberFormat="1" applyAlignment="1" applyProtection="1">
      <alignment vertical="center"/>
    </xf>
    <xf numFmtId="0" fontId="0" fillId="0" borderId="0" xfId="0" applyNumberFormat="1" applyAlignment="1" applyProtection="1">
      <alignment horizontal="center"/>
    </xf>
    <xf numFmtId="0" fontId="14" fillId="24" borderId="30" xfId="15" applyNumberFormat="1" applyFont="1" applyFill="1" applyBorder="1" applyProtection="1">
      <alignment horizontal="left" vertical="center"/>
    </xf>
    <xf numFmtId="0" fontId="14" fillId="24" borderId="44" xfId="15" applyNumberFormat="1" applyFont="1" applyFill="1" applyBorder="1" applyAlignment="1" applyProtection="1">
      <alignment horizontal="left" vertical="center"/>
    </xf>
    <xf numFmtId="0" fontId="14" fillId="24" borderId="44" xfId="15" applyNumberFormat="1" applyFont="1" applyFill="1" applyBorder="1" applyProtection="1">
      <alignment horizontal="left" vertical="center"/>
    </xf>
    <xf numFmtId="0" fontId="14" fillId="24" borderId="31" xfId="15" applyNumberFormat="1" applyFont="1" applyFill="1" applyBorder="1" applyAlignment="1" applyProtection="1">
      <alignment horizontal="center" vertical="center"/>
    </xf>
    <xf numFmtId="0" fontId="3" fillId="0" borderId="56" xfId="0" applyNumberFormat="1" applyFont="1" applyBorder="1" applyAlignment="1" applyProtection="1">
      <alignment horizontal="center" vertical="center"/>
    </xf>
    <xf numFmtId="0" fontId="3" fillId="5" borderId="6" xfId="25" applyNumberFormat="1" applyFont="1" applyFill="1" applyBorder="1" applyAlignment="1" applyProtection="1">
      <alignment horizontal="center" vertical="center"/>
      <protection locked="0"/>
    </xf>
    <xf numFmtId="0" fontId="3" fillId="0" borderId="41" xfId="0" applyNumberFormat="1" applyFont="1" applyBorder="1" applyAlignment="1" applyProtection="1">
      <alignment vertical="center" wrapText="1"/>
    </xf>
    <xf numFmtId="0" fontId="3" fillId="0" borderId="0" xfId="0" applyNumberFormat="1" applyFont="1" applyAlignment="1" applyProtection="1">
      <alignment wrapText="1"/>
    </xf>
    <xf numFmtId="0" fontId="3" fillId="0" borderId="0" xfId="0" applyNumberFormat="1" applyFont="1" applyAlignment="1" applyProtection="1">
      <alignment horizontal="center" vertical="center"/>
    </xf>
    <xf numFmtId="0" fontId="3" fillId="0" borderId="0" xfId="0" applyNumberFormat="1" applyFont="1" applyBorder="1" applyAlignment="1" applyProtection="1">
      <alignment horizontal="center" vertical="center"/>
    </xf>
    <xf numFmtId="0" fontId="3" fillId="7" borderId="0" xfId="0" applyNumberFormat="1" applyFont="1" applyFill="1" applyProtection="1"/>
    <xf numFmtId="0" fontId="3" fillId="7" borderId="0" xfId="0" applyNumberFormat="1" applyFont="1" applyFill="1" applyBorder="1" applyAlignment="1" applyProtection="1">
      <alignment horizontal="center" vertical="center"/>
    </xf>
    <xf numFmtId="0" fontId="34" fillId="26" borderId="25" xfId="28" applyFont="1" applyFill="1" applyBorder="1" applyAlignment="1" applyProtection="1">
      <alignment horizontal="center" vertical="center"/>
    </xf>
    <xf numFmtId="0" fontId="6" fillId="22" borderId="95" xfId="28" applyFont="1" applyFill="1" applyBorder="1" applyAlignment="1" applyProtection="1">
      <alignment horizontal="center" vertical="center"/>
    </xf>
    <xf numFmtId="166" fontId="37" fillId="23" borderId="47" xfId="38" applyNumberFormat="1" applyFont="1" applyFill="1" applyBorder="1" applyAlignment="1" applyProtection="1">
      <alignment horizontal="center" vertical="center"/>
    </xf>
    <xf numFmtId="0" fontId="34" fillId="25" borderId="47" xfId="39" applyFont="1" applyFill="1" applyBorder="1" applyAlignment="1" applyProtection="1">
      <alignment horizontal="center" vertical="center"/>
    </xf>
    <xf numFmtId="0" fontId="6" fillId="0" borderId="47" xfId="28" applyFont="1" applyFill="1" applyBorder="1" applyAlignment="1" applyProtection="1">
      <alignment horizontal="center" vertical="center"/>
    </xf>
    <xf numFmtId="0" fontId="50" fillId="27" borderId="54" xfId="0" applyFont="1" applyFill="1" applyBorder="1" applyAlignment="1" applyProtection="1">
      <alignment horizontal="center" vertical="center"/>
    </xf>
    <xf numFmtId="0" fontId="48" fillId="0" borderId="27" xfId="16" applyFont="1" applyBorder="1" applyAlignment="1" applyProtection="1">
      <alignment vertical="center"/>
      <protection locked="0"/>
    </xf>
    <xf numFmtId="0" fontId="6" fillId="0" borderId="27" xfId="16" applyFont="1" applyBorder="1" applyAlignment="1" applyProtection="1">
      <alignment vertical="center"/>
    </xf>
    <xf numFmtId="0" fontId="18" fillId="0" borderId="0" xfId="16" applyFont="1" applyAlignment="1" applyProtection="1">
      <alignment vertical="center"/>
    </xf>
    <xf numFmtId="0" fontId="30" fillId="0" borderId="83" xfId="28" applyFont="1" applyBorder="1" applyAlignment="1" applyProtection="1">
      <alignment vertical="center" wrapText="1"/>
    </xf>
    <xf numFmtId="0" fontId="49" fillId="0" borderId="84" xfId="28" applyFont="1" applyBorder="1" applyAlignment="1" applyProtection="1">
      <alignment horizontal="left" vertical="center" wrapText="1"/>
    </xf>
    <xf numFmtId="0" fontId="30" fillId="0" borderId="85" xfId="28" applyFont="1" applyBorder="1" applyAlignment="1" applyProtection="1">
      <alignment vertical="center" wrapText="1"/>
    </xf>
    <xf numFmtId="0" fontId="30" fillId="0" borderId="86" xfId="28" applyNumberFormat="1" applyFont="1" applyBorder="1" applyAlignment="1" applyProtection="1">
      <alignment horizontal="left" vertical="center" wrapText="1"/>
    </xf>
    <xf numFmtId="14" fontId="30" fillId="0" borderId="86" xfId="28" applyNumberFormat="1" applyFont="1" applyBorder="1" applyAlignment="1" applyProtection="1">
      <alignment horizontal="left" vertical="center" wrapText="1"/>
    </xf>
    <xf numFmtId="0" fontId="30" fillId="0" borderId="85" xfId="28" applyNumberFormat="1" applyFont="1" applyBorder="1" applyAlignment="1" applyProtection="1">
      <alignment vertical="center" wrapText="1"/>
    </xf>
    <xf numFmtId="0" fontId="49" fillId="0" borderId="86" xfId="28" applyFont="1" applyBorder="1" applyAlignment="1" applyProtection="1">
      <alignment horizontal="left" vertical="center" wrapText="1"/>
    </xf>
    <xf numFmtId="0" fontId="30" fillId="0" borderId="87" xfId="28" applyFont="1" applyBorder="1" applyAlignment="1" applyProtection="1">
      <alignment horizontal="left" vertical="center" wrapText="1"/>
    </xf>
    <xf numFmtId="0" fontId="30" fillId="0" borderId="88" xfId="28" applyNumberFormat="1" applyFont="1" applyBorder="1" applyAlignment="1" applyProtection="1">
      <alignment horizontal="left" vertical="center" wrapText="1"/>
    </xf>
    <xf numFmtId="0" fontId="30" fillId="0" borderId="89" xfId="28" applyFont="1" applyBorder="1" applyAlignment="1" applyProtection="1">
      <alignment vertical="center" wrapText="1"/>
    </xf>
    <xf numFmtId="14" fontId="30" fillId="0" borderId="90" xfId="28" applyNumberFormat="1" applyFont="1" applyBorder="1" applyAlignment="1" applyProtection="1">
      <alignment horizontal="left" vertical="center" wrapText="1"/>
    </xf>
    <xf numFmtId="0" fontId="30" fillId="0" borderId="83" xfId="28" applyFont="1" applyBorder="1" applyAlignment="1" applyProtection="1"/>
    <xf numFmtId="0" fontId="49" fillId="0" borderId="84" xfId="28" applyFont="1" applyBorder="1" applyAlignment="1" applyProtection="1">
      <alignment horizontal="left"/>
    </xf>
    <xf numFmtId="0" fontId="30" fillId="0" borderId="85" xfId="28" applyFont="1" applyBorder="1" applyAlignment="1" applyProtection="1"/>
    <xf numFmtId="0" fontId="30" fillId="0" borderId="86" xfId="28" applyNumberFormat="1" applyFont="1" applyBorder="1" applyAlignment="1" applyProtection="1">
      <alignment horizontal="left"/>
    </xf>
    <xf numFmtId="14" fontId="30" fillId="0" borderId="86" xfId="28" applyNumberFormat="1" applyFont="1" applyBorder="1" applyAlignment="1" applyProtection="1">
      <alignment horizontal="left"/>
    </xf>
    <xf numFmtId="0" fontId="30" fillId="0" borderId="85" xfId="28" applyNumberFormat="1" applyFont="1" applyBorder="1" applyAlignment="1" applyProtection="1"/>
    <xf numFmtId="0" fontId="49" fillId="0" borderId="86" xfId="28" applyFont="1" applyBorder="1" applyAlignment="1" applyProtection="1">
      <alignment horizontal="left"/>
    </xf>
    <xf numFmtId="0" fontId="30" fillId="0" borderId="87" xfId="28" applyFont="1" applyBorder="1" applyAlignment="1" applyProtection="1">
      <alignment horizontal="left" vertical="center"/>
    </xf>
    <xf numFmtId="0" fontId="30" fillId="0" borderId="88" xfId="28" applyNumberFormat="1" applyFont="1" applyBorder="1" applyAlignment="1" applyProtection="1">
      <alignment horizontal="left" vertical="center"/>
    </xf>
    <xf numFmtId="0" fontId="30" fillId="0" borderId="89" xfId="28" applyFont="1" applyBorder="1" applyAlignment="1" applyProtection="1"/>
    <xf numFmtId="14" fontId="30" fillId="0" borderId="90" xfId="28" applyNumberFormat="1" applyFont="1" applyBorder="1" applyAlignment="1" applyProtection="1">
      <alignment horizontal="left"/>
    </xf>
    <xf numFmtId="164" fontId="10" fillId="0" borderId="48" xfId="28" applyNumberFormat="1" applyFont="1" applyBorder="1" applyAlignment="1">
      <alignment horizontal="center" wrapText="1"/>
    </xf>
    <xf numFmtId="14" fontId="15" fillId="0" borderId="96" xfId="28" applyNumberFormat="1" applyFont="1" applyBorder="1" applyAlignment="1">
      <alignment horizontal="center" wrapText="1"/>
    </xf>
    <xf numFmtId="14" fontId="9" fillId="0" borderId="0" xfId="20" applyNumberFormat="1" applyFont="1" applyFill="1" applyBorder="1" applyProtection="1">
      <alignment horizontal="center" vertical="center"/>
    </xf>
    <xf numFmtId="0" fontId="9" fillId="0" borderId="0" xfId="20" applyFont="1" applyFill="1" applyBorder="1" applyAlignment="1" applyProtection="1">
      <alignment horizontal="left" vertical="center"/>
    </xf>
    <xf numFmtId="0" fontId="3" fillId="0" borderId="40" xfId="25" applyNumberFormat="1" applyFont="1" applyBorder="1" applyAlignment="1" applyProtection="1">
      <alignment vertical="center" wrapText="1"/>
    </xf>
    <xf numFmtId="0" fontId="3" fillId="22" borderId="0" xfId="0" applyFont="1" applyFill="1" applyProtection="1"/>
    <xf numFmtId="0" fontId="3" fillId="22" borderId="0" xfId="0" applyFont="1" applyFill="1" applyAlignment="1" applyProtection="1">
      <alignment horizontal="center"/>
    </xf>
    <xf numFmtId="0" fontId="3" fillId="0" borderId="99" xfId="0" applyNumberFormat="1" applyFont="1" applyBorder="1" applyAlignment="1" applyProtection="1">
      <alignment vertical="center" wrapText="1"/>
    </xf>
    <xf numFmtId="0" fontId="3" fillId="5" borderId="77" xfId="25" applyNumberFormat="1" applyFont="1" applyFill="1" applyBorder="1" applyAlignment="1" applyProtection="1">
      <alignment horizontal="center" vertical="center"/>
      <protection locked="0"/>
    </xf>
    <xf numFmtId="0" fontId="3" fillId="0" borderId="0" xfId="0" applyNumberFormat="1" applyFont="1" applyFill="1" applyBorder="1" applyAlignment="1" applyProtection="1">
      <alignment horizontal="center" vertical="center"/>
    </xf>
    <xf numFmtId="0" fontId="8" fillId="4" borderId="30" xfId="0" applyFont="1" applyFill="1" applyBorder="1" applyAlignment="1">
      <alignment horizontal="left"/>
    </xf>
    <xf numFmtId="0" fontId="8" fillId="4" borderId="44" xfId="0" applyFont="1" applyFill="1" applyBorder="1" applyAlignment="1">
      <alignment horizontal="left"/>
    </xf>
    <xf numFmtId="0" fontId="8" fillId="4" borderId="31" xfId="0" applyFont="1" applyFill="1" applyBorder="1" applyAlignment="1">
      <alignment horizontal="left"/>
    </xf>
    <xf numFmtId="0" fontId="3" fillId="0" borderId="0" xfId="0" applyFont="1" applyBorder="1" applyAlignment="1">
      <alignment horizontal="center"/>
    </xf>
    <xf numFmtId="0" fontId="3" fillId="0" borderId="1" xfId="0" applyFont="1" applyBorder="1"/>
    <xf numFmtId="0" fontId="3" fillId="0" borderId="42" xfId="0" applyFont="1" applyBorder="1"/>
    <xf numFmtId="0" fontId="3" fillId="0" borderId="42" xfId="0" applyFont="1" applyBorder="1" applyAlignment="1">
      <alignment horizontal="left"/>
    </xf>
    <xf numFmtId="0" fontId="3" fillId="0" borderId="47" xfId="0" applyFont="1" applyBorder="1" applyAlignment="1">
      <alignment horizontal="center"/>
    </xf>
    <xf numFmtId="0" fontId="3" fillId="0" borderId="54" xfId="0" applyFont="1" applyBorder="1"/>
    <xf numFmtId="0" fontId="3" fillId="0" borderId="47" xfId="0" applyFont="1" applyBorder="1"/>
    <xf numFmtId="0" fontId="8" fillId="0" borderId="1" xfId="0" applyFont="1" applyBorder="1" applyAlignment="1">
      <alignment horizontal="center" vertical="center"/>
    </xf>
    <xf numFmtId="0" fontId="3" fillId="0" borderId="0" xfId="0" applyFont="1" applyAlignment="1">
      <alignment wrapText="1"/>
    </xf>
    <xf numFmtId="0" fontId="8" fillId="0" borderId="62" xfId="0" applyFont="1" applyBorder="1" applyAlignment="1">
      <alignment horizontal="center" vertical="center"/>
    </xf>
    <xf numFmtId="0" fontId="3" fillId="24" borderId="44" xfId="0" applyFont="1" applyFill="1" applyBorder="1"/>
    <xf numFmtId="0" fontId="3" fillId="24" borderId="31" xfId="0" applyFont="1" applyFill="1" applyBorder="1"/>
    <xf numFmtId="0" fontId="8" fillId="24" borderId="30" xfId="0" applyFont="1" applyFill="1" applyBorder="1" applyAlignment="1"/>
    <xf numFmtId="0" fontId="8" fillId="24" borderId="44" xfId="0" applyFont="1" applyFill="1" applyBorder="1" applyAlignment="1"/>
    <xf numFmtId="0" fontId="8" fillId="24" borderId="31" xfId="0" applyFont="1" applyFill="1" applyBorder="1" applyAlignment="1"/>
    <xf numFmtId="0" fontId="8" fillId="0" borderId="10" xfId="0" applyFont="1" applyBorder="1" applyAlignment="1">
      <alignment horizontal="center" vertical="center" wrapText="1"/>
    </xf>
    <xf numFmtId="2" fontId="3" fillId="0" borderId="1" xfId="0" applyNumberFormat="1" applyFont="1" applyBorder="1" applyAlignment="1">
      <alignment horizontal="center" vertical="center"/>
    </xf>
    <xf numFmtId="2" fontId="3" fillId="0" borderId="11" xfId="0" applyNumberFormat="1" applyFont="1" applyBorder="1" applyAlignment="1">
      <alignment horizontal="center" vertical="center"/>
    </xf>
    <xf numFmtId="0" fontId="3" fillId="0" borderId="4" xfId="0" applyFont="1" applyBorder="1"/>
    <xf numFmtId="0" fontId="3" fillId="0" borderId="3" xfId="0" applyFont="1" applyBorder="1" applyAlignment="1">
      <alignment horizontal="center" vertical="center"/>
    </xf>
    <xf numFmtId="2" fontId="3" fillId="0" borderId="10" xfId="0" applyNumberFormat="1" applyFont="1" applyBorder="1" applyAlignment="1">
      <alignment horizontal="center" vertical="center"/>
    </xf>
    <xf numFmtId="0" fontId="3" fillId="0" borderId="4" xfId="0" applyFont="1" applyBorder="1" applyAlignment="1">
      <alignment horizontal="center" vertical="center"/>
    </xf>
    <xf numFmtId="2" fontId="3" fillId="0" borderId="12" xfId="0" applyNumberFormat="1" applyFont="1" applyBorder="1" applyAlignment="1">
      <alignment horizontal="center" vertical="center"/>
    </xf>
    <xf numFmtId="0" fontId="8" fillId="0" borderId="23" xfId="0" applyFont="1" applyBorder="1" applyAlignment="1">
      <alignment horizontal="center" vertical="center"/>
    </xf>
    <xf numFmtId="0" fontId="8" fillId="0" borderId="62" xfId="0" applyFont="1" applyBorder="1" applyAlignment="1">
      <alignment vertical="center" wrapText="1"/>
    </xf>
    <xf numFmtId="0" fontId="8" fillId="0" borderId="24" xfId="0" applyFont="1" applyBorder="1" applyAlignment="1">
      <alignment horizontal="center" vertical="center" wrapText="1"/>
    </xf>
    <xf numFmtId="0" fontId="3" fillId="0" borderId="13" xfId="0" applyFont="1" applyBorder="1" applyAlignment="1">
      <alignment horizontal="center"/>
    </xf>
    <xf numFmtId="0" fontId="3" fillId="0" borderId="14" xfId="0" applyFont="1" applyBorder="1" applyAlignment="1">
      <alignment horizontal="center"/>
    </xf>
    <xf numFmtId="2" fontId="3" fillId="0" borderId="14" xfId="0" applyNumberFormat="1" applyFont="1" applyBorder="1" applyAlignment="1">
      <alignment horizontal="center" vertical="center"/>
    </xf>
    <xf numFmtId="0" fontId="34" fillId="25" borderId="15" xfId="0" applyFont="1" applyFill="1" applyBorder="1" applyAlignment="1">
      <alignment horizontal="center"/>
    </xf>
    <xf numFmtId="0" fontId="8" fillId="0" borderId="24" xfId="0" applyFont="1" applyBorder="1" applyAlignment="1">
      <alignment horizontal="center" vertical="center"/>
    </xf>
    <xf numFmtId="0" fontId="3" fillId="0" borderId="13" xfId="0" applyFont="1" applyBorder="1" applyAlignment="1">
      <alignment horizontal="center" vertical="center"/>
    </xf>
    <xf numFmtId="2" fontId="3" fillId="0" borderId="15" xfId="0" applyNumberFormat="1" applyFont="1" applyBorder="1" applyAlignment="1">
      <alignment horizontal="center" vertical="center"/>
    </xf>
    <xf numFmtId="0" fontId="3" fillId="0" borderId="13" xfId="0" applyFont="1" applyBorder="1" applyAlignment="1">
      <alignment horizontal="left" vertical="top" wrapText="1"/>
    </xf>
    <xf numFmtId="0" fontId="3" fillId="0" borderId="4" xfId="0" applyFont="1" applyBorder="1" applyAlignment="1">
      <alignment horizontal="left" vertical="top" wrapText="1"/>
    </xf>
    <xf numFmtId="0" fontId="3" fillId="0" borderId="13" xfId="0" applyFont="1" applyBorder="1"/>
    <xf numFmtId="0" fontId="8" fillId="0" borderId="93" xfId="0" applyFont="1" applyBorder="1" applyAlignment="1">
      <alignment horizontal="center"/>
    </xf>
    <xf numFmtId="0" fontId="8" fillId="0" borderId="24" xfId="0" applyFont="1" applyBorder="1" applyAlignment="1">
      <alignment horizontal="center"/>
    </xf>
    <xf numFmtId="2" fontId="3" fillId="0" borderId="14" xfId="0" applyNumberFormat="1" applyFont="1" applyBorder="1" applyAlignment="1">
      <alignment horizontal="center"/>
    </xf>
    <xf numFmtId="164" fontId="3" fillId="0" borderId="14" xfId="0" applyNumberFormat="1" applyFont="1" applyBorder="1" applyAlignment="1">
      <alignment horizontal="center"/>
    </xf>
    <xf numFmtId="2" fontId="3" fillId="0" borderId="15" xfId="0" applyNumberFormat="1" applyFont="1" applyBorder="1" applyAlignment="1">
      <alignment horizontal="center"/>
    </xf>
    <xf numFmtId="0" fontId="3" fillId="0" borderId="1" xfId="0" applyFont="1" applyBorder="1" applyAlignment="1">
      <alignment horizontal="center" vertical="center" wrapText="1"/>
    </xf>
    <xf numFmtId="0" fontId="3" fillId="28" borderId="1" xfId="0" applyFont="1" applyFill="1" applyBorder="1" applyAlignment="1">
      <alignment horizontal="center" vertical="center"/>
    </xf>
    <xf numFmtId="0" fontId="3" fillId="28" borderId="10" xfId="0" applyFont="1" applyFill="1" applyBorder="1" applyAlignment="1">
      <alignment horizontal="center" vertical="center"/>
    </xf>
    <xf numFmtId="0" fontId="3" fillId="0" borderId="3" xfId="0" applyFont="1" applyBorder="1" applyAlignment="1">
      <alignment horizontal="left" vertical="top" wrapText="1"/>
    </xf>
    <xf numFmtId="0" fontId="3" fillId="0" borderId="42" xfId="0" applyFont="1" applyBorder="1" applyAlignment="1">
      <alignment wrapText="1"/>
    </xf>
    <xf numFmtId="0" fontId="8" fillId="0" borderId="23" xfId="0" applyFont="1" applyBorder="1"/>
    <xf numFmtId="0" fontId="3" fillId="28" borderId="14" xfId="0" applyFont="1" applyFill="1" applyBorder="1" applyAlignment="1">
      <alignment horizontal="center" vertical="center"/>
    </xf>
    <xf numFmtId="0" fontId="3" fillId="28" borderId="11" xfId="0" applyFont="1" applyFill="1" applyBorder="1" applyAlignment="1">
      <alignment horizontal="center" vertical="center"/>
    </xf>
    <xf numFmtId="0" fontId="3" fillId="28" borderId="12" xfId="0" applyFont="1" applyFill="1" applyBorder="1" applyAlignment="1">
      <alignment horizontal="center" vertical="center"/>
    </xf>
    <xf numFmtId="0" fontId="8" fillId="0" borderId="42" xfId="0" applyFont="1" applyBorder="1"/>
    <xf numFmtId="0" fontId="3" fillId="0" borderId="1" xfId="0" applyFont="1" applyBorder="1" applyAlignment="1">
      <alignment vertical="center"/>
    </xf>
    <xf numFmtId="0" fontId="3" fillId="0" borderId="10" xfId="0" applyFont="1" applyBorder="1" applyAlignment="1">
      <alignment horizontal="left" vertical="top"/>
    </xf>
    <xf numFmtId="0" fontId="3" fillId="0" borderId="12" xfId="0" applyFont="1" applyBorder="1" applyAlignment="1">
      <alignment horizontal="left" vertical="top"/>
    </xf>
    <xf numFmtId="0" fontId="3" fillId="4" borderId="44" xfId="0" applyFont="1" applyFill="1" applyBorder="1" applyAlignment="1">
      <alignment horizontal="centerContinuous"/>
    </xf>
    <xf numFmtId="0" fontId="3" fillId="4" borderId="31" xfId="0" applyFont="1" applyFill="1" applyBorder="1" applyAlignment="1">
      <alignment horizontal="centerContinuous"/>
    </xf>
    <xf numFmtId="0" fontId="8" fillId="0" borderId="23" xfId="0" applyFont="1" applyBorder="1" applyAlignment="1">
      <alignment horizontal="center"/>
    </xf>
    <xf numFmtId="0" fontId="8" fillId="0" borderId="62" xfId="0" applyFont="1" applyBorder="1" applyAlignment="1">
      <alignment horizontal="center"/>
    </xf>
    <xf numFmtId="3" fontId="3" fillId="0" borderId="13" xfId="0" applyNumberFormat="1" applyFont="1" applyBorder="1" applyAlignment="1">
      <alignment horizontal="center"/>
    </xf>
    <xf numFmtId="3" fontId="3" fillId="0" borderId="14" xfId="0" applyNumberFormat="1" applyFont="1" applyBorder="1" applyAlignment="1">
      <alignment horizontal="center"/>
    </xf>
    <xf numFmtId="0" fontId="3" fillId="0" borderId="15" xfId="0" applyFont="1" applyBorder="1" applyAlignment="1">
      <alignment horizontal="left" vertical="top"/>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8" fillId="0" borderId="13" xfId="0" applyFont="1" applyBorder="1"/>
    <xf numFmtId="0" fontId="8" fillId="0" borderId="11" xfId="0" applyFont="1" applyBorder="1" applyAlignment="1">
      <alignment horizontal="center" vertical="center"/>
    </xf>
    <xf numFmtId="2" fontId="3" fillId="0" borderId="1" xfId="0" applyNumberFormat="1" applyFont="1" applyBorder="1"/>
    <xf numFmtId="0" fontId="8" fillId="0" borderId="1" xfId="0" applyFont="1" applyBorder="1" applyAlignment="1">
      <alignment horizontal="center" vertical="center" wrapText="1"/>
    </xf>
    <xf numFmtId="0" fontId="3" fillId="0" borderId="10" xfId="0" applyFont="1" applyBorder="1"/>
    <xf numFmtId="0" fontId="8" fillId="0" borderId="62" xfId="0" applyFont="1" applyBorder="1"/>
    <xf numFmtId="0" fontId="8" fillId="0" borderId="24" xfId="0" applyFont="1" applyBorder="1"/>
    <xf numFmtId="0" fontId="3" fillId="0" borderId="14" xfId="0" applyFont="1" applyBorder="1"/>
    <xf numFmtId="2" fontId="3" fillId="0" borderId="14" xfId="0" applyNumberFormat="1" applyFont="1" applyBorder="1"/>
    <xf numFmtId="0" fontId="3" fillId="0" borderId="15" xfId="0" applyFont="1" applyBorder="1"/>
    <xf numFmtId="0" fontId="3" fillId="0" borderId="11" xfId="0" applyFont="1" applyBorder="1"/>
    <xf numFmtId="2" fontId="3" fillId="0" borderId="11" xfId="0" applyNumberFormat="1" applyFont="1" applyBorder="1"/>
    <xf numFmtId="0" fontId="3" fillId="0" borderId="12" xfId="0" applyFont="1" applyBorder="1"/>
    <xf numFmtId="0" fontId="8" fillId="0" borderId="62" xfId="0" applyFont="1" applyBorder="1" applyAlignment="1">
      <alignment horizontal="center" vertical="center" wrapText="1"/>
    </xf>
    <xf numFmtId="0" fontId="3" fillId="28" borderId="74" xfId="0" applyFont="1" applyFill="1" applyBorder="1" applyAlignment="1">
      <alignment horizontal="center" vertical="center"/>
    </xf>
    <xf numFmtId="0" fontId="3" fillId="0" borderId="65" xfId="0" applyFont="1" applyBorder="1" applyAlignment="1">
      <alignment horizontal="center" vertical="center"/>
    </xf>
    <xf numFmtId="0" fontId="3" fillId="28" borderId="65" xfId="0" applyFont="1" applyFill="1" applyBorder="1" applyAlignment="1">
      <alignment horizontal="center" vertical="center"/>
    </xf>
    <xf numFmtId="0" fontId="6" fillId="5" borderId="7" xfId="20" applyFont="1" applyFill="1" applyBorder="1" applyAlignment="1" applyProtection="1">
      <alignment horizontal="left" vertical="center"/>
      <protection locked="0"/>
    </xf>
    <xf numFmtId="0" fontId="3" fillId="0" borderId="0" xfId="0" applyFont="1" applyAlignment="1">
      <alignment horizontal="center" wrapText="1"/>
    </xf>
    <xf numFmtId="0" fontId="3" fillId="7" borderId="0" xfId="0" applyFont="1" applyFill="1" applyAlignment="1">
      <alignment wrapText="1"/>
    </xf>
    <xf numFmtId="0" fontId="8" fillId="0" borderId="102" xfId="0" applyFont="1" applyBorder="1" applyAlignment="1">
      <alignment horizontal="center" vertical="center"/>
    </xf>
    <xf numFmtId="0" fontId="34" fillId="25" borderId="94" xfId="0" applyFont="1" applyFill="1" applyBorder="1" applyAlignment="1">
      <alignment horizontal="center" vertical="center"/>
    </xf>
    <xf numFmtId="0" fontId="34" fillId="25" borderId="79" xfId="0" applyFont="1" applyFill="1" applyBorder="1" applyAlignment="1">
      <alignment horizontal="center" vertical="center"/>
    </xf>
    <xf numFmtId="0" fontId="34" fillId="25" borderId="101" xfId="0" applyFont="1" applyFill="1" applyBorder="1" applyAlignment="1">
      <alignment horizontal="center" vertical="center"/>
    </xf>
    <xf numFmtId="0" fontId="8" fillId="0" borderId="78" xfId="0" applyFont="1" applyBorder="1"/>
    <xf numFmtId="0" fontId="34" fillId="25" borderId="15" xfId="20" applyFont="1" applyFill="1" applyBorder="1" applyAlignment="1" applyProtection="1">
      <alignment horizontal="center" vertical="center"/>
    </xf>
    <xf numFmtId="0" fontId="3" fillId="0" borderId="104" xfId="28" applyFont="1" applyBorder="1" applyAlignment="1">
      <alignment vertical="center"/>
    </xf>
    <xf numFmtId="0" fontId="3" fillId="0" borderId="28" xfId="28" applyFont="1" applyBorder="1" applyAlignment="1">
      <alignment vertical="center"/>
    </xf>
    <xf numFmtId="0" fontId="4" fillId="0" borderId="0" xfId="25" applyFont="1" applyAlignment="1">
      <alignment vertical="center"/>
    </xf>
    <xf numFmtId="0" fontId="9" fillId="8" borderId="10" xfId="20" applyFont="1" applyFill="1" applyBorder="1" applyAlignment="1" applyProtection="1">
      <alignment horizontal="center" vertical="center"/>
    </xf>
    <xf numFmtId="0" fontId="3" fillId="0" borderId="106" xfId="0" applyNumberFormat="1" applyFont="1" applyBorder="1" applyAlignment="1" applyProtection="1">
      <alignment horizontal="center" wrapText="1"/>
    </xf>
    <xf numFmtId="0" fontId="3" fillId="0" borderId="5" xfId="0" applyFont="1" applyBorder="1" applyAlignment="1" applyProtection="1">
      <alignment horizontal="right" wrapText="1"/>
    </xf>
    <xf numFmtId="0" fontId="34" fillId="29" borderId="47" xfId="28" applyFont="1" applyFill="1" applyBorder="1" applyAlignment="1" applyProtection="1">
      <alignment horizontal="center" vertical="center"/>
    </xf>
    <xf numFmtId="0" fontId="3" fillId="0" borderId="0" xfId="25" applyNumberFormat="1" applyFont="1" applyFill="1" applyBorder="1" applyAlignment="1" applyProtection="1">
      <alignment horizontal="center" vertical="center"/>
      <protection locked="0"/>
    </xf>
    <xf numFmtId="0" fontId="3" fillId="0" borderId="107" xfId="0" applyNumberFormat="1" applyFont="1" applyBorder="1" applyAlignment="1" applyProtection="1">
      <alignment vertical="center" wrapText="1"/>
    </xf>
    <xf numFmtId="0" fontId="3" fillId="0" borderId="109" xfId="25" applyNumberFormat="1" applyFont="1" applyBorder="1" applyAlignment="1" applyProtection="1">
      <alignment vertical="center" wrapText="1"/>
    </xf>
    <xf numFmtId="0" fontId="3" fillId="0" borderId="110" xfId="0" applyNumberFormat="1" applyFont="1" applyBorder="1" applyAlignment="1" applyProtection="1">
      <alignment horizontal="center" vertical="center"/>
    </xf>
    <xf numFmtId="0" fontId="8" fillId="0" borderId="5" xfId="0" applyNumberFormat="1" applyFont="1" applyBorder="1" applyAlignment="1" applyProtection="1">
      <alignment horizontal="center" wrapText="1"/>
    </xf>
    <xf numFmtId="0" fontId="8" fillId="0" borderId="6" xfId="0" applyNumberFormat="1" applyFont="1" applyBorder="1" applyAlignment="1" applyProtection="1">
      <alignment horizontal="center" vertical="center"/>
    </xf>
    <xf numFmtId="0" fontId="8" fillId="0" borderId="6" xfId="0" applyNumberFormat="1" applyFont="1" applyBorder="1" applyAlignment="1" applyProtection="1">
      <alignment horizontal="center"/>
    </xf>
    <xf numFmtId="0" fontId="3" fillId="0" borderId="111" xfId="0" applyNumberFormat="1" applyFont="1" applyBorder="1" applyAlignment="1" applyProtection="1">
      <alignment horizontal="center" vertical="center"/>
    </xf>
    <xf numFmtId="0" fontId="3" fillId="0" borderId="0" xfId="0" applyFont="1" applyBorder="1" applyProtection="1"/>
    <xf numFmtId="0" fontId="3" fillId="0" borderId="42" xfId="0" applyFont="1" applyBorder="1" applyAlignment="1" applyProtection="1">
      <alignment wrapText="1"/>
    </xf>
    <xf numFmtId="0" fontId="3" fillId="0" borderId="42" xfId="0" applyFont="1" applyBorder="1" applyProtection="1"/>
    <xf numFmtId="0" fontId="3" fillId="0" borderId="47" xfId="0" applyFont="1" applyBorder="1" applyProtection="1"/>
    <xf numFmtId="0" fontId="0" fillId="0" borderId="42" xfId="0" applyNumberFormat="1" applyBorder="1" applyProtection="1"/>
    <xf numFmtId="0" fontId="0" fillId="0" borderId="0" xfId="0" applyNumberFormat="1" applyBorder="1" applyProtection="1"/>
    <xf numFmtId="0" fontId="3" fillId="0" borderId="108" xfId="0" applyFont="1" applyBorder="1" applyAlignment="1" applyProtection="1">
      <alignment horizontal="left" vertical="top" wrapText="1"/>
    </xf>
    <xf numFmtId="0" fontId="3" fillId="0" borderId="42" xfId="0" applyNumberFormat="1" applyFont="1" applyBorder="1" applyAlignment="1" applyProtection="1">
      <alignment wrapText="1"/>
    </xf>
    <xf numFmtId="0" fontId="3" fillId="0" borderId="0" xfId="0" applyNumberFormat="1" applyFont="1" applyBorder="1" applyAlignment="1" applyProtection="1">
      <alignment horizontal="center"/>
    </xf>
    <xf numFmtId="0" fontId="3" fillId="0" borderId="107" xfId="0" applyNumberFormat="1" applyFont="1" applyBorder="1" applyAlignment="1" applyProtection="1">
      <alignment wrapText="1"/>
    </xf>
    <xf numFmtId="0" fontId="13" fillId="19" borderId="30" xfId="15" applyFont="1" applyBorder="1" applyAlignment="1" applyProtection="1">
      <alignment horizontal="left" vertical="center"/>
    </xf>
    <xf numFmtId="0" fontId="13" fillId="19" borderId="44" xfId="15" applyFont="1" applyBorder="1" applyAlignment="1" applyProtection="1">
      <alignment horizontal="left" vertical="center"/>
    </xf>
    <xf numFmtId="0" fontId="13" fillId="19" borderId="31" xfId="15" applyFont="1" applyBorder="1" applyAlignment="1" applyProtection="1">
      <alignment horizontal="left" vertical="center"/>
    </xf>
    <xf numFmtId="0" fontId="8" fillId="0" borderId="1" xfId="0" applyFont="1" applyBorder="1" applyAlignment="1" applyProtection="1">
      <alignment horizontal="center" vertical="center" wrapText="1"/>
    </xf>
    <xf numFmtId="0" fontId="3" fillId="0" borderId="42" xfId="0" applyNumberFormat="1" applyFont="1" applyBorder="1" applyAlignment="1" applyProtection="1">
      <alignment vertical="center" wrapText="1"/>
    </xf>
    <xf numFmtId="0" fontId="3" fillId="0" borderId="107" xfId="25" applyNumberFormat="1" applyFont="1" applyBorder="1" applyAlignment="1" applyProtection="1">
      <alignment vertical="center"/>
    </xf>
    <xf numFmtId="0" fontId="3" fillId="0" borderId="111" xfId="0" applyNumberFormat="1" applyFont="1" applyBorder="1" applyAlignment="1" applyProtection="1">
      <alignment horizontal="center"/>
    </xf>
    <xf numFmtId="0" fontId="8" fillId="0" borderId="1" xfId="0" applyFont="1" applyBorder="1" applyAlignment="1" applyProtection="1">
      <alignment horizontal="center" vertical="center"/>
    </xf>
    <xf numFmtId="0" fontId="8" fillId="0" borderId="3" xfId="0" applyFont="1" applyBorder="1" applyAlignment="1" applyProtection="1">
      <alignment horizontal="right"/>
    </xf>
    <xf numFmtId="0" fontId="3" fillId="0" borderId="113" xfId="0" applyFont="1" applyBorder="1" applyAlignment="1" applyProtection="1">
      <alignment horizontal="right" vertical="top"/>
    </xf>
    <xf numFmtId="0" fontId="3" fillId="0" borderId="42" xfId="0" applyFont="1" applyBorder="1" applyAlignment="1" applyProtection="1">
      <alignment horizontal="right" vertical="top"/>
    </xf>
    <xf numFmtId="0" fontId="3" fillId="0" borderId="108" xfId="0" applyFont="1" applyBorder="1" applyAlignment="1" applyProtection="1">
      <alignment horizontal="right" vertical="top"/>
    </xf>
    <xf numFmtId="0" fontId="3" fillId="0" borderId="42" xfId="0" applyFont="1" applyBorder="1" applyAlignment="1" applyProtection="1">
      <alignment horizontal="right"/>
    </xf>
    <xf numFmtId="0" fontId="3" fillId="0" borderId="114" xfId="0" applyFont="1" applyBorder="1" applyAlignment="1" applyProtection="1">
      <alignment horizontal="right"/>
    </xf>
    <xf numFmtId="0" fontId="3" fillId="0" borderId="115" xfId="0" applyFont="1" applyBorder="1" applyAlignment="1" applyProtection="1">
      <alignment horizontal="right"/>
    </xf>
    <xf numFmtId="0" fontId="3" fillId="0" borderId="0" xfId="32" applyNumberFormat="1" applyFont="1" applyFill="1" applyBorder="1" applyAlignment="1" applyProtection="1">
      <alignment horizontal="center" vertical="center"/>
      <protection locked="0"/>
    </xf>
    <xf numFmtId="0" fontId="3" fillId="0" borderId="106" xfId="25" applyNumberFormat="1" applyFont="1" applyBorder="1" applyAlignment="1" applyProtection="1">
      <alignment vertical="center"/>
    </xf>
    <xf numFmtId="0" fontId="34" fillId="29" borderId="1" xfId="0" applyFont="1" applyFill="1" applyBorder="1" applyAlignment="1" applyProtection="1">
      <alignment horizontal="center" vertical="center" wrapText="1"/>
    </xf>
    <xf numFmtId="0" fontId="4" fillId="0" borderId="0" xfId="0" applyFont="1" applyBorder="1" applyAlignment="1" applyProtection="1">
      <alignment wrapText="1"/>
    </xf>
    <xf numFmtId="0" fontId="3" fillId="0" borderId="116" xfId="25" applyNumberFormat="1" applyFont="1" applyBorder="1" applyAlignment="1" applyProtection="1">
      <alignment vertical="center"/>
    </xf>
    <xf numFmtId="0" fontId="3" fillId="0" borderId="117" xfId="0" applyNumberFormat="1" applyFont="1" applyBorder="1" applyAlignment="1" applyProtection="1">
      <alignment horizontal="center" vertical="center"/>
    </xf>
    <xf numFmtId="0" fontId="3" fillId="0" borderId="116" xfId="0" applyNumberFormat="1" applyFont="1" applyBorder="1" applyAlignment="1" applyProtection="1">
      <alignment vertical="center" wrapText="1"/>
    </xf>
    <xf numFmtId="0" fontId="3" fillId="0" borderId="42" xfId="25" applyNumberFormat="1" applyFont="1" applyFill="1" applyBorder="1" applyAlignment="1" applyProtection="1">
      <alignment vertical="center"/>
    </xf>
    <xf numFmtId="0" fontId="3" fillId="0" borderId="119" xfId="0" applyNumberFormat="1" applyFont="1" applyBorder="1" applyAlignment="1" applyProtection="1">
      <alignment horizontal="center" vertical="center"/>
    </xf>
    <xf numFmtId="0" fontId="3" fillId="0" borderId="1" xfId="0" applyNumberFormat="1" applyFont="1" applyBorder="1" applyAlignment="1" applyProtection="1">
      <alignment horizontal="center"/>
    </xf>
    <xf numFmtId="0" fontId="3" fillId="0" borderId="3" xfId="0" applyNumberFormat="1" applyFont="1" applyBorder="1" applyAlignment="1" applyProtection="1">
      <alignment wrapText="1"/>
    </xf>
    <xf numFmtId="0" fontId="8" fillId="0" borderId="3" xfId="0" applyFont="1" applyBorder="1" applyAlignment="1" applyProtection="1">
      <alignment horizontal="center" wrapText="1"/>
    </xf>
    <xf numFmtId="0" fontId="3" fillId="0" borderId="20" xfId="0" applyNumberFormat="1" applyFont="1" applyBorder="1" applyAlignment="1" applyProtection="1">
      <alignment horizontal="center"/>
    </xf>
    <xf numFmtId="0" fontId="3" fillId="0" borderId="0" xfId="28" applyFont="1" applyBorder="1" applyAlignment="1" applyProtection="1">
      <alignment vertical="center"/>
    </xf>
    <xf numFmtId="14" fontId="6" fillId="5" borderId="1" xfId="20" applyNumberFormat="1" applyFont="1" applyFill="1" applyBorder="1" applyAlignment="1" applyProtection="1">
      <alignment horizontal="center" vertical="center" wrapText="1"/>
      <protection locked="0"/>
    </xf>
    <xf numFmtId="0" fontId="9" fillId="8" borderId="12" xfId="20" applyNumberFormat="1" applyFont="1" applyFill="1" applyBorder="1" applyAlignment="1" applyProtection="1">
      <alignment horizontal="center" vertical="center"/>
    </xf>
    <xf numFmtId="14" fontId="37" fillId="23" borderId="10" xfId="0" applyNumberFormat="1" applyFont="1" applyFill="1" applyBorder="1" applyAlignment="1" applyProtection="1">
      <alignment horizontal="center" vertical="center"/>
      <protection locked="0"/>
    </xf>
    <xf numFmtId="14" fontId="37" fillId="23" borderId="12" xfId="0" applyNumberFormat="1" applyFont="1" applyFill="1" applyBorder="1" applyAlignment="1" applyProtection="1">
      <alignment horizontal="center" vertical="center"/>
      <protection locked="0"/>
    </xf>
    <xf numFmtId="0" fontId="22" fillId="5" borderId="45" xfId="20" applyFont="1" applyFill="1" applyBorder="1" applyAlignment="1" applyProtection="1">
      <alignment horizontal="center" vertical="center"/>
      <protection locked="0"/>
    </xf>
    <xf numFmtId="0" fontId="22" fillId="5" borderId="46" xfId="20" applyFont="1" applyFill="1" applyBorder="1" applyAlignment="1" applyProtection="1">
      <alignment horizontal="center" vertical="center"/>
      <protection locked="0"/>
    </xf>
    <xf numFmtId="0" fontId="6" fillId="5" borderId="15" xfId="20" applyFont="1" applyFill="1" applyBorder="1" applyAlignment="1" applyProtection="1">
      <alignment horizontal="center" vertical="center"/>
      <protection locked="0"/>
    </xf>
    <xf numFmtId="0" fontId="6" fillId="5" borderId="10" xfId="20" applyFont="1" applyFill="1" applyBorder="1" applyAlignment="1" applyProtection="1">
      <alignment horizontal="center" vertical="center"/>
      <protection locked="0"/>
    </xf>
    <xf numFmtId="14" fontId="6" fillId="5" borderId="10" xfId="20" applyNumberFormat="1" applyFont="1" applyFill="1" applyBorder="1" applyAlignment="1" applyProtection="1">
      <alignment horizontal="center" vertical="center"/>
      <protection locked="0"/>
    </xf>
    <xf numFmtId="14" fontId="6" fillId="5" borderId="11" xfId="20" applyNumberFormat="1" applyFont="1" applyFill="1" applyBorder="1" applyAlignment="1" applyProtection="1">
      <alignment horizontal="center" vertical="center" wrapText="1"/>
      <protection locked="0"/>
    </xf>
    <xf numFmtId="0" fontId="6" fillId="5" borderId="49" xfId="20" applyFont="1" applyFill="1" applyBorder="1" applyAlignment="1" applyProtection="1">
      <alignment horizontal="center" vertical="center" wrapText="1"/>
      <protection locked="0"/>
    </xf>
    <xf numFmtId="0" fontId="6" fillId="5" borderId="70" xfId="20" applyFont="1" applyFill="1" applyBorder="1" applyAlignment="1" applyProtection="1">
      <alignment horizontal="center" vertical="center" wrapText="1"/>
      <protection locked="0"/>
    </xf>
    <xf numFmtId="0" fontId="9" fillId="29" borderId="12" xfId="25" applyNumberFormat="1" applyFont="1" applyFill="1" applyBorder="1" applyAlignment="1" applyProtection="1">
      <alignment horizontal="center" vertical="center"/>
    </xf>
    <xf numFmtId="0" fontId="13" fillId="19" borderId="18" xfId="15" applyFont="1" applyBorder="1" applyAlignment="1" applyProtection="1">
      <alignment vertical="center"/>
    </xf>
    <xf numFmtId="0" fontId="13" fillId="19" borderId="17" xfId="15" applyFont="1" applyBorder="1" applyAlignment="1" applyProtection="1">
      <alignment vertical="center"/>
    </xf>
    <xf numFmtId="0" fontId="13" fillId="19" borderId="25" xfId="15" applyFont="1" applyBorder="1" applyAlignment="1" applyProtection="1">
      <alignment vertical="center"/>
    </xf>
    <xf numFmtId="0" fontId="9" fillId="29" borderId="1" xfId="25" applyNumberFormat="1" applyFont="1" applyFill="1" applyBorder="1" applyAlignment="1" applyProtection="1">
      <alignment horizontal="center" vertical="center"/>
    </xf>
    <xf numFmtId="0" fontId="3" fillId="0" borderId="122" xfId="28" applyFont="1" applyBorder="1" applyAlignment="1">
      <alignment vertical="center"/>
    </xf>
    <xf numFmtId="0" fontId="34" fillId="25" borderId="49" xfId="25" applyNumberFormat="1" applyFont="1" applyFill="1" applyBorder="1" applyAlignment="1" applyProtection="1">
      <alignment horizontal="center" vertical="center"/>
      <protection locked="0"/>
    </xf>
    <xf numFmtId="0" fontId="3" fillId="5" borderId="70" xfId="25" applyNumberFormat="1" applyFont="1" applyFill="1" applyBorder="1" applyAlignment="1" applyProtection="1">
      <alignment horizontal="center" vertical="center"/>
      <protection locked="0"/>
    </xf>
    <xf numFmtId="0" fontId="13" fillId="19" borderId="18" xfId="15" applyNumberFormat="1" applyFont="1" applyBorder="1" applyAlignment="1" applyProtection="1">
      <alignment vertical="center"/>
    </xf>
    <xf numFmtId="0" fontId="13" fillId="19" borderId="17" xfId="15" applyNumberFormat="1" applyFont="1" applyBorder="1" applyAlignment="1" applyProtection="1">
      <alignment vertical="center"/>
    </xf>
    <xf numFmtId="0" fontId="13" fillId="19" borderId="25" xfId="15" applyNumberFormat="1" applyFont="1" applyBorder="1" applyAlignment="1" applyProtection="1">
      <alignment vertical="center"/>
    </xf>
    <xf numFmtId="0" fontId="0" fillId="0" borderId="0" xfId="0" applyBorder="1" applyProtection="1"/>
    <xf numFmtId="0" fontId="34" fillId="25" borderId="1" xfId="0" applyFont="1" applyFill="1" applyBorder="1" applyAlignment="1" applyProtection="1">
      <alignment horizontal="center" vertical="center"/>
    </xf>
    <xf numFmtId="0" fontId="8" fillId="24" borderId="30" xfId="0" applyFont="1" applyFill="1" applyBorder="1" applyAlignment="1" applyProtection="1">
      <alignment horizontal="left" vertical="top"/>
    </xf>
    <xf numFmtId="0" fontId="8" fillId="24" borderId="44" xfId="0" applyFont="1" applyFill="1" applyBorder="1" applyAlignment="1" applyProtection="1">
      <alignment horizontal="centerContinuous"/>
    </xf>
    <xf numFmtId="3" fontId="6" fillId="5" borderId="10" xfId="20" applyNumberFormat="1" applyFont="1" applyFill="1" applyBorder="1" applyAlignment="1" applyProtection="1">
      <alignment horizontal="center" vertical="center"/>
      <protection locked="0"/>
    </xf>
    <xf numFmtId="0" fontId="3" fillId="0" borderId="26" xfId="28" applyFont="1" applyBorder="1" applyAlignment="1">
      <alignment vertical="center" wrapText="1"/>
    </xf>
    <xf numFmtId="0" fontId="6" fillId="5" borderId="1" xfId="20" applyFont="1" applyFill="1" applyBorder="1" applyAlignment="1" applyProtection="1">
      <alignment horizontal="center" vertical="center"/>
      <protection locked="0"/>
    </xf>
    <xf numFmtId="167" fontId="9" fillId="8" borderId="1" xfId="20" applyNumberFormat="1" applyFont="1" applyFill="1" applyBorder="1" applyAlignment="1" applyProtection="1">
      <alignment horizontal="center" vertical="center" wrapText="1"/>
    </xf>
    <xf numFmtId="2" fontId="9" fillId="8" borderId="1" xfId="20" applyNumberFormat="1" applyFont="1" applyFill="1" applyBorder="1" applyAlignment="1" applyProtection="1">
      <alignment horizontal="center" vertical="center" wrapText="1"/>
    </xf>
    <xf numFmtId="164" fontId="9" fillId="8" borderId="1" xfId="20" applyNumberFormat="1" applyFont="1" applyFill="1" applyBorder="1" applyAlignment="1" applyProtection="1">
      <alignment horizontal="center" vertical="center" wrapText="1"/>
    </xf>
    <xf numFmtId="2" fontId="9" fillId="25" borderId="1" xfId="20" applyNumberFormat="1" applyFont="1" applyFill="1" applyBorder="1" applyAlignment="1" applyProtection="1">
      <alignment horizontal="center" vertical="center" wrapText="1"/>
    </xf>
    <xf numFmtId="0" fontId="9" fillId="25" borderId="77" xfId="20" applyNumberFormat="1" applyFont="1" applyFill="1" applyBorder="1" applyAlignment="1" applyProtection="1">
      <alignment horizontal="center" vertical="center" wrapText="1"/>
    </xf>
    <xf numFmtId="0" fontId="9" fillId="0" borderId="0" xfId="20" applyNumberFormat="1" applyFont="1" applyFill="1" applyBorder="1" applyAlignment="1" applyProtection="1">
      <alignment horizontal="center" vertical="center" wrapText="1"/>
    </xf>
    <xf numFmtId="0" fontId="3" fillId="0" borderId="128" xfId="0" applyFont="1" applyBorder="1" applyAlignment="1" applyProtection="1">
      <alignment horizontal="center" vertical="center"/>
    </xf>
    <xf numFmtId="0" fontId="3" fillId="0" borderId="129" xfId="0" applyFont="1" applyBorder="1" applyAlignment="1" applyProtection="1">
      <alignment horizontal="center" vertical="center"/>
    </xf>
    <xf numFmtId="0" fontId="3" fillId="0" borderId="55" xfId="0" applyFont="1" applyFill="1" applyBorder="1" applyAlignment="1" applyProtection="1">
      <alignment horizontal="center" vertical="center"/>
    </xf>
    <xf numFmtId="167" fontId="9" fillId="0" borderId="0" xfId="20" applyNumberFormat="1" applyFont="1" applyFill="1" applyBorder="1" applyAlignment="1" applyProtection="1">
      <alignment horizontal="center" vertical="center" wrapText="1"/>
    </xf>
    <xf numFmtId="0" fontId="9" fillId="8" borderId="49" xfId="20" applyNumberFormat="1" applyFont="1" applyFill="1" applyBorder="1" applyAlignment="1" applyProtection="1">
      <alignment horizontal="center" vertical="center" wrapText="1"/>
    </xf>
    <xf numFmtId="167" fontId="9" fillId="8" borderId="62" xfId="20" applyNumberFormat="1" applyFont="1" applyFill="1" applyBorder="1" applyAlignment="1" applyProtection="1">
      <alignment horizontal="center" vertical="center" wrapText="1"/>
    </xf>
    <xf numFmtId="0" fontId="8" fillId="0" borderId="6" xfId="0" applyFont="1" applyBorder="1" applyAlignment="1">
      <alignment horizontal="center" vertical="center"/>
    </xf>
    <xf numFmtId="2" fontId="9" fillId="8" borderId="49" xfId="20" applyNumberFormat="1" applyFont="1" applyFill="1" applyBorder="1" applyAlignment="1" applyProtection="1">
      <alignment horizontal="center" vertical="center" wrapText="1"/>
    </xf>
    <xf numFmtId="2" fontId="9" fillId="8" borderId="62" xfId="20" applyNumberFormat="1" applyFont="1" applyFill="1" applyBorder="1" applyAlignment="1" applyProtection="1">
      <alignment horizontal="center" vertical="center" wrapText="1"/>
    </xf>
    <xf numFmtId="0" fontId="6" fillId="0" borderId="0" xfId="20" applyNumberFormat="1" applyFont="1" applyFill="1" applyBorder="1" applyAlignment="1" applyProtection="1">
      <alignment horizontal="center" vertical="center" wrapText="1"/>
    </xf>
    <xf numFmtId="0" fontId="9" fillId="8" borderId="65" xfId="20" applyNumberFormat="1" applyFont="1" applyFill="1" applyBorder="1" applyAlignment="1" applyProtection="1">
      <alignment horizontal="center" vertical="center" wrapText="1"/>
    </xf>
    <xf numFmtId="0" fontId="9" fillId="25" borderId="65" xfId="20" applyNumberFormat="1" applyFont="1" applyFill="1" applyBorder="1" applyAlignment="1" applyProtection="1">
      <alignment horizontal="center" vertical="center" wrapText="1"/>
    </xf>
    <xf numFmtId="3" fontId="6" fillId="5" borderId="12" xfId="20" applyNumberFormat="1" applyFont="1" applyFill="1" applyBorder="1" applyAlignment="1" applyProtection="1">
      <alignment horizontal="center" vertical="center"/>
      <protection locked="0"/>
    </xf>
    <xf numFmtId="3" fontId="9" fillId="8" borderId="1" xfId="32" applyNumberFormat="1" applyFont="1" applyFill="1" applyBorder="1" applyAlignment="1" applyProtection="1">
      <alignment horizontal="center" vertical="center" wrapText="1"/>
    </xf>
    <xf numFmtId="0" fontId="9" fillId="29" borderId="1" xfId="20" applyNumberFormat="1" applyFont="1" applyFill="1" applyBorder="1" applyAlignment="1" applyProtection="1">
      <alignment horizontal="center" vertical="center"/>
    </xf>
    <xf numFmtId="0" fontId="34" fillId="0" borderId="0" xfId="20" applyNumberFormat="1" applyFont="1" applyFill="1" applyBorder="1" applyAlignment="1" applyProtection="1">
      <alignment horizontal="center" vertical="center" wrapText="1"/>
    </xf>
    <xf numFmtId="0" fontId="9" fillId="8" borderId="72" xfId="20" applyNumberFormat="1" applyFont="1" applyFill="1" applyBorder="1" applyAlignment="1" applyProtection="1">
      <alignment horizontal="center" vertical="center" wrapText="1"/>
    </xf>
    <xf numFmtId="167" fontId="9" fillId="8" borderId="103" xfId="20" applyNumberFormat="1" applyFont="1" applyFill="1" applyBorder="1" applyAlignment="1" applyProtection="1">
      <alignment horizontal="center" vertical="center" wrapText="1"/>
    </xf>
    <xf numFmtId="0" fontId="34" fillId="25" borderId="65" xfId="20" applyNumberFormat="1" applyFont="1" applyFill="1" applyBorder="1" applyAlignment="1" applyProtection="1">
      <alignment horizontal="center" vertical="center" wrapText="1"/>
    </xf>
    <xf numFmtId="2" fontId="9" fillId="8" borderId="103" xfId="20" applyNumberFormat="1" applyFont="1" applyFill="1" applyBorder="1" applyAlignment="1" applyProtection="1">
      <alignment horizontal="center" vertical="center" wrapText="1"/>
    </xf>
    <xf numFmtId="2" fontId="34" fillId="25" borderId="1" xfId="20" applyNumberFormat="1" applyFont="1" applyFill="1" applyBorder="1" applyAlignment="1" applyProtection="1">
      <alignment horizontal="center" vertical="center" wrapText="1"/>
    </xf>
    <xf numFmtId="2" fontId="9" fillId="0" borderId="0" xfId="20" applyNumberFormat="1" applyFont="1" applyFill="1" applyBorder="1" applyAlignment="1" applyProtection="1">
      <alignment horizontal="center" vertical="center" wrapText="1"/>
    </xf>
    <xf numFmtId="0" fontId="9" fillId="8" borderId="6" xfId="25" applyNumberFormat="1" applyFont="1" applyFill="1" applyBorder="1" applyAlignment="1" applyProtection="1">
      <alignment horizontal="center" vertical="center"/>
    </xf>
    <xf numFmtId="0" fontId="0" fillId="0" borderId="0" xfId="0" applyBorder="1"/>
    <xf numFmtId="2" fontId="9" fillId="0" borderId="1" xfId="20" applyNumberFormat="1" applyFont="1" applyFill="1" applyBorder="1" applyAlignment="1" applyProtection="1">
      <alignment horizontal="center" vertical="center" wrapText="1"/>
    </xf>
    <xf numFmtId="2" fontId="9" fillId="25" borderId="6" xfId="20" applyNumberFormat="1" applyFont="1" applyFill="1" applyBorder="1" applyAlignment="1" applyProtection="1">
      <alignment horizontal="center" vertical="center" wrapText="1"/>
    </xf>
    <xf numFmtId="2" fontId="9" fillId="25" borderId="62" xfId="20" applyNumberFormat="1" applyFont="1" applyFill="1" applyBorder="1" applyAlignment="1" applyProtection="1">
      <alignment horizontal="center" vertical="center" wrapText="1"/>
    </xf>
    <xf numFmtId="2" fontId="9" fillId="8" borderId="132" xfId="20" applyNumberFormat="1" applyFont="1" applyFill="1" applyBorder="1" applyAlignment="1" applyProtection="1">
      <alignment horizontal="center" vertical="center" wrapText="1"/>
    </xf>
    <xf numFmtId="164" fontId="9" fillId="25" borderId="65" xfId="20" applyNumberFormat="1" applyFont="1" applyFill="1" applyBorder="1" applyAlignment="1" applyProtection="1">
      <alignment horizontal="center" vertical="center" wrapText="1"/>
    </xf>
    <xf numFmtId="164" fontId="9" fillId="0" borderId="0" xfId="20" applyNumberFormat="1" applyFont="1" applyFill="1" applyBorder="1" applyAlignment="1" applyProtection="1">
      <alignment horizontal="center" vertical="center" wrapText="1"/>
    </xf>
    <xf numFmtId="164" fontId="34" fillId="25" borderId="49" xfId="0" applyNumberFormat="1" applyFont="1" applyFill="1" applyBorder="1" applyAlignment="1" applyProtection="1">
      <alignment horizontal="center" vertical="center"/>
    </xf>
    <xf numFmtId="166" fontId="34" fillId="25" borderId="65" xfId="20" applyNumberFormat="1" applyFont="1" applyFill="1" applyBorder="1" applyAlignment="1" applyProtection="1">
      <alignment horizontal="center" vertical="center" wrapText="1"/>
    </xf>
    <xf numFmtId="166" fontId="34" fillId="25" borderId="1" xfId="20" applyNumberFormat="1" applyFont="1" applyFill="1" applyBorder="1" applyAlignment="1" applyProtection="1">
      <alignment horizontal="center" vertical="center" wrapText="1"/>
    </xf>
    <xf numFmtId="0" fontId="9" fillId="8" borderId="1" xfId="0" applyFont="1" applyFill="1" applyBorder="1" applyAlignment="1" applyProtection="1">
      <alignment horizontal="center" vertical="center"/>
    </xf>
    <xf numFmtId="0" fontId="13" fillId="0" borderId="1" xfId="0" applyFont="1" applyFill="1" applyBorder="1" applyAlignment="1" applyProtection="1">
      <alignment horizontal="center" vertical="center"/>
    </xf>
    <xf numFmtId="0" fontId="13" fillId="0" borderId="1" xfId="20" applyNumberFormat="1" applyFont="1" applyFill="1" applyBorder="1" applyAlignment="1" applyProtection="1">
      <alignment horizontal="center" vertical="center" wrapText="1"/>
    </xf>
    <xf numFmtId="0" fontId="3" fillId="0" borderId="1" xfId="0" applyFont="1" applyFill="1" applyBorder="1" applyAlignment="1">
      <alignment vertical="center"/>
    </xf>
    <xf numFmtId="0" fontId="3" fillId="0" borderId="1" xfId="0" applyFont="1" applyFill="1" applyBorder="1" applyAlignment="1">
      <alignment horizontal="center" vertical="center"/>
    </xf>
    <xf numFmtId="0" fontId="3" fillId="0" borderId="1" xfId="32" applyNumberFormat="1" applyFont="1" applyFill="1" applyBorder="1" applyAlignment="1">
      <alignment horizontal="center" vertical="center"/>
    </xf>
    <xf numFmtId="0" fontId="3" fillId="0" borderId="65" xfId="0" applyFont="1" applyFill="1" applyBorder="1" applyAlignment="1">
      <alignment horizontal="center" vertical="center"/>
    </xf>
    <xf numFmtId="0" fontId="6" fillId="0" borderId="1" xfId="0" applyFont="1" applyFill="1" applyBorder="1" applyAlignment="1" applyProtection="1">
      <alignment horizontal="center" vertical="center"/>
    </xf>
    <xf numFmtId="0" fontId="6" fillId="0" borderId="1" xfId="20" applyNumberFormat="1" applyFont="1" applyFill="1" applyBorder="1" applyAlignment="1" applyProtection="1">
      <alignment horizontal="center" vertical="center" wrapText="1"/>
    </xf>
    <xf numFmtId="0" fontId="34" fillId="25" borderId="102" xfId="20" applyNumberFormat="1" applyFont="1" applyFill="1" applyBorder="1" applyAlignment="1" applyProtection="1">
      <alignment horizontal="center" vertical="center" wrapText="1"/>
    </xf>
    <xf numFmtId="0" fontId="8" fillId="24" borderId="44" xfId="0" applyFont="1" applyFill="1" applyBorder="1" applyAlignment="1" applyProtection="1">
      <alignment horizontal="center" wrapText="1"/>
    </xf>
    <xf numFmtId="0" fontId="27" fillId="24" borderId="44" xfId="0" applyFont="1" applyFill="1" applyBorder="1" applyAlignment="1" applyProtection="1">
      <alignment horizontal="centerContinuous"/>
    </xf>
    <xf numFmtId="0" fontId="8" fillId="24" borderId="31" xfId="0" applyFont="1" applyFill="1" applyBorder="1" applyAlignment="1" applyProtection="1">
      <alignment horizontal="centerContinuous"/>
    </xf>
    <xf numFmtId="0" fontId="3" fillId="0" borderId="1" xfId="0" applyFont="1" applyFill="1" applyBorder="1" applyAlignment="1">
      <alignment horizontal="left" vertical="center"/>
    </xf>
    <xf numFmtId="0" fontId="4" fillId="0" borderId="1" xfId="0" applyFont="1" applyFill="1" applyBorder="1" applyAlignment="1">
      <alignment horizontal="center" vertical="center"/>
    </xf>
    <xf numFmtId="165" fontId="3" fillId="0" borderId="1" xfId="0" applyNumberFormat="1" applyFont="1" applyFill="1" applyBorder="1" applyAlignment="1">
      <alignment horizontal="center" vertical="center"/>
    </xf>
    <xf numFmtId="0" fontId="8" fillId="24" borderId="44" xfId="0" applyFont="1" applyFill="1" applyBorder="1" applyAlignment="1" applyProtection="1">
      <alignment horizontal="left" vertical="top"/>
    </xf>
    <xf numFmtId="0" fontId="8" fillId="24" borderId="31" xfId="0" applyFont="1" applyFill="1" applyBorder="1" applyAlignment="1" applyProtection="1">
      <alignment horizontal="left" vertical="top"/>
    </xf>
    <xf numFmtId="0" fontId="3" fillId="0" borderId="47" xfId="0" applyFont="1" applyBorder="1" applyAlignment="1" applyProtection="1">
      <alignment horizontal="center" vertical="center"/>
    </xf>
    <xf numFmtId="0" fontId="3" fillId="0" borderId="0" xfId="24" applyFont="1" applyFill="1" applyBorder="1" applyAlignment="1" applyProtection="1">
      <alignment horizontal="left"/>
    </xf>
    <xf numFmtId="0" fontId="8" fillId="0" borderId="13" xfId="0" applyNumberFormat="1" applyFont="1" applyBorder="1" applyAlignment="1" applyProtection="1">
      <alignment horizontal="center" wrapText="1"/>
    </xf>
    <xf numFmtId="0" fontId="46" fillId="0" borderId="1" xfId="0" applyFont="1" applyBorder="1" applyAlignment="1">
      <alignment horizontal="center" vertical="center"/>
    </xf>
    <xf numFmtId="169" fontId="9" fillId="25" borderId="1" xfId="20" applyNumberFormat="1" applyFont="1" applyFill="1" applyBorder="1" applyAlignment="1" applyProtection="1">
      <alignment horizontal="center" vertical="center" wrapText="1"/>
    </xf>
    <xf numFmtId="0" fontId="3" fillId="0" borderId="54" xfId="0" applyFont="1" applyBorder="1" applyAlignment="1" applyProtection="1">
      <alignment horizontal="center" vertical="center"/>
    </xf>
    <xf numFmtId="0" fontId="3" fillId="0" borderId="133" xfId="0" applyNumberFormat="1" applyFont="1" applyBorder="1" applyAlignment="1" applyProtection="1">
      <alignment horizontal="center" vertical="center"/>
    </xf>
    <xf numFmtId="0" fontId="3" fillId="0" borderId="22" xfId="0" applyNumberFormat="1" applyFont="1" applyBorder="1" applyAlignment="1" applyProtection="1">
      <alignment vertical="center" wrapText="1"/>
    </xf>
    <xf numFmtId="0" fontId="3" fillId="0" borderId="1" xfId="0" applyNumberFormat="1" applyFont="1" applyBorder="1" applyAlignment="1" applyProtection="1">
      <alignment horizontal="center" vertical="center"/>
    </xf>
    <xf numFmtId="0" fontId="3" fillId="0" borderId="134" xfId="0" applyNumberFormat="1" applyFont="1" applyBorder="1" applyAlignment="1" applyProtection="1">
      <alignment horizontal="center" vertical="center"/>
    </xf>
    <xf numFmtId="0" fontId="3" fillId="0" borderId="135" xfId="0" applyNumberFormat="1" applyFont="1" applyBorder="1" applyAlignment="1" applyProtection="1">
      <alignment vertical="center" wrapText="1"/>
    </xf>
    <xf numFmtId="0" fontId="3" fillId="0" borderId="136" xfId="0" applyNumberFormat="1" applyFont="1" applyBorder="1" applyAlignment="1" applyProtection="1">
      <alignment horizontal="center" vertical="center"/>
    </xf>
    <xf numFmtId="0" fontId="3" fillId="0" borderId="27" xfId="0" applyNumberFormat="1" applyFont="1" applyBorder="1" applyAlignment="1" applyProtection="1">
      <alignment horizontal="center" vertical="center"/>
    </xf>
    <xf numFmtId="0" fontId="3" fillId="0" borderId="29" xfId="0" applyNumberFormat="1" applyFont="1" applyBorder="1" applyAlignment="1" applyProtection="1">
      <alignment horizontal="center" vertical="center"/>
    </xf>
    <xf numFmtId="0" fontId="4" fillId="0" borderId="42" xfId="25" applyNumberFormat="1" applyFont="1" applyFill="1" applyBorder="1" applyAlignment="1" applyProtection="1">
      <alignment horizontal="left" vertical="top" wrapText="1"/>
    </xf>
    <xf numFmtId="0" fontId="4" fillId="0" borderId="0" xfId="25" applyNumberFormat="1" applyFont="1" applyFill="1" applyBorder="1" applyAlignment="1" applyProtection="1">
      <alignment horizontal="left" vertical="top" wrapText="1"/>
    </xf>
    <xf numFmtId="0" fontId="3" fillId="0" borderId="1" xfId="0" applyFont="1" applyBorder="1" applyAlignment="1" applyProtection="1">
      <alignment horizontal="center" vertical="center"/>
    </xf>
    <xf numFmtId="0" fontId="3" fillId="0" borderId="0" xfId="0" applyFont="1" applyBorder="1" applyAlignment="1" applyProtection="1">
      <alignment vertical="center"/>
    </xf>
    <xf numFmtId="167" fontId="34" fillId="25" borderId="1" xfId="0" applyNumberFormat="1" applyFont="1" applyFill="1" applyBorder="1" applyAlignment="1" applyProtection="1">
      <alignment horizontal="center" vertical="center"/>
    </xf>
    <xf numFmtId="166" fontId="34" fillId="25" borderId="1" xfId="0" applyNumberFormat="1" applyFont="1" applyFill="1" applyBorder="1" applyAlignment="1">
      <alignment horizontal="center" vertical="center"/>
    </xf>
    <xf numFmtId="0" fontId="37" fillId="0" borderId="83" xfId="28" applyFont="1" applyBorder="1" applyAlignment="1"/>
    <xf numFmtId="0" fontId="57" fillId="0" borderId="84" xfId="28" applyFont="1" applyBorder="1" applyAlignment="1">
      <alignment horizontal="left"/>
    </xf>
    <xf numFmtId="0" fontId="37" fillId="0" borderId="85" xfId="28" applyFont="1" applyBorder="1" applyAlignment="1"/>
    <xf numFmtId="0" fontId="37" fillId="0" borderId="86" xfId="28" applyNumberFormat="1" applyFont="1" applyBorder="1" applyAlignment="1">
      <alignment horizontal="left"/>
    </xf>
    <xf numFmtId="0" fontId="3" fillId="0" borderId="0" xfId="28" applyFont="1" applyFill="1" applyBorder="1" applyAlignment="1" applyProtection="1">
      <alignment horizontal="left" vertical="center"/>
    </xf>
    <xf numFmtId="14" fontId="37" fillId="0" borderId="86" xfId="28" applyNumberFormat="1" applyFont="1" applyBorder="1" applyAlignment="1">
      <alignment horizontal="left"/>
    </xf>
    <xf numFmtId="164" fontId="3" fillId="0" borderId="0" xfId="28" applyNumberFormat="1" applyFont="1" applyFill="1" applyBorder="1" applyAlignment="1" applyProtection="1">
      <alignment horizontal="left" vertical="center"/>
    </xf>
    <xf numFmtId="0" fontId="37" fillId="0" borderId="85" xfId="28" applyNumberFormat="1" applyFont="1" applyBorder="1" applyAlignment="1"/>
    <xf numFmtId="0" fontId="57" fillId="0" borderId="86" xfId="28" applyFont="1" applyBorder="1" applyAlignment="1">
      <alignment horizontal="left"/>
    </xf>
    <xf numFmtId="14" fontId="3" fillId="0" borderId="0" xfId="28" applyNumberFormat="1" applyFont="1" applyFill="1" applyBorder="1" applyAlignment="1" applyProtection="1">
      <alignment horizontal="left" vertical="center"/>
    </xf>
    <xf numFmtId="0" fontId="37" fillId="0" borderId="87" xfId="28" applyFont="1" applyBorder="1" applyAlignment="1">
      <alignment horizontal="left" vertical="center"/>
    </xf>
    <xf numFmtId="0" fontId="37" fillId="0" borderId="88" xfId="28" applyNumberFormat="1" applyFont="1" applyBorder="1" applyAlignment="1">
      <alignment horizontal="left" vertical="center"/>
    </xf>
    <xf numFmtId="0" fontId="37" fillId="0" borderId="89" xfId="28" applyFont="1" applyBorder="1" applyAlignment="1"/>
    <xf numFmtId="14" fontId="37" fillId="0" borderId="90" xfId="28" applyNumberFormat="1" applyFont="1" applyBorder="1" applyAlignment="1">
      <alignment horizontal="left"/>
    </xf>
    <xf numFmtId="14" fontId="3" fillId="0" borderId="0" xfId="28" applyNumberFormat="1" applyFont="1" applyBorder="1" applyAlignment="1" applyProtection="1">
      <alignment horizontal="left" vertical="center"/>
    </xf>
    <xf numFmtId="0" fontId="37" fillId="0" borderId="0" xfId="0" applyFont="1"/>
    <xf numFmtId="1" fontId="34" fillId="25" borderId="1" xfId="0" applyNumberFormat="1" applyFont="1" applyFill="1" applyBorder="1" applyAlignment="1">
      <alignment horizontal="center" vertical="center"/>
    </xf>
    <xf numFmtId="2" fontId="34" fillId="25" borderId="1" xfId="0" applyNumberFormat="1" applyFont="1" applyFill="1" applyBorder="1" applyAlignment="1">
      <alignment horizontal="center" vertical="center"/>
    </xf>
    <xf numFmtId="1" fontId="34" fillId="25" borderId="3" xfId="0" applyNumberFormat="1" applyFont="1" applyFill="1" applyBorder="1" applyAlignment="1">
      <alignment horizontal="center" vertical="center"/>
    </xf>
    <xf numFmtId="166" fontId="34" fillId="25" borderId="3" xfId="0" applyNumberFormat="1" applyFont="1" applyFill="1" applyBorder="1" applyAlignment="1">
      <alignment horizontal="center" vertical="center"/>
    </xf>
    <xf numFmtId="2" fontId="34" fillId="25" borderId="3" xfId="0" applyNumberFormat="1" applyFont="1" applyFill="1" applyBorder="1" applyAlignment="1">
      <alignment horizontal="center" vertical="center"/>
    </xf>
    <xf numFmtId="0" fontId="34" fillId="25" borderId="3" xfId="0" applyFont="1" applyFill="1" applyBorder="1" applyAlignment="1">
      <alignment horizontal="center" vertical="center"/>
    </xf>
    <xf numFmtId="0" fontId="37" fillId="0" borderId="42" xfId="0" applyFont="1" applyBorder="1"/>
    <xf numFmtId="0" fontId="37" fillId="0" borderId="0" xfId="0" applyFont="1" applyBorder="1"/>
    <xf numFmtId="0" fontId="46" fillId="0" borderId="3" xfId="0" applyFont="1" applyBorder="1" applyAlignment="1">
      <alignment horizontal="center" vertical="center"/>
    </xf>
    <xf numFmtId="0" fontId="8" fillId="0" borderId="1" xfId="0" applyFont="1" applyFill="1" applyBorder="1" applyAlignment="1" applyProtection="1">
      <alignment horizontal="center" vertical="center"/>
    </xf>
    <xf numFmtId="0" fontId="46" fillId="0" borderId="1" xfId="0" applyFont="1" applyBorder="1" applyAlignment="1">
      <alignment horizontal="center"/>
    </xf>
    <xf numFmtId="168" fontId="34" fillId="25" borderId="1" xfId="0" applyNumberFormat="1" applyFont="1" applyFill="1" applyBorder="1" applyAlignment="1">
      <alignment horizontal="center"/>
    </xf>
    <xf numFmtId="170" fontId="34" fillId="25" borderId="1" xfId="0" applyNumberFormat="1" applyFont="1" applyFill="1" applyBorder="1" applyAlignment="1">
      <alignment horizontal="center" vertical="center"/>
    </xf>
    <xf numFmtId="0" fontId="6" fillId="0" borderId="0" xfId="0" applyFont="1" applyFill="1" applyBorder="1" applyAlignment="1">
      <alignment horizontal="center" vertical="center"/>
    </xf>
    <xf numFmtId="167" fontId="6" fillId="0" borderId="0" xfId="0" applyNumberFormat="1" applyFont="1" applyFill="1" applyBorder="1" applyAlignment="1">
      <alignment horizontal="center" vertical="center"/>
    </xf>
    <xf numFmtId="0" fontId="34" fillId="25" borderId="4" xfId="0" applyFont="1" applyFill="1" applyBorder="1" applyAlignment="1">
      <alignment horizontal="center" vertical="center"/>
    </xf>
    <xf numFmtId="168" fontId="34" fillId="25" borderId="11" xfId="0" applyNumberFormat="1" applyFont="1" applyFill="1" applyBorder="1" applyAlignment="1">
      <alignment horizontal="center" vertical="center"/>
    </xf>
    <xf numFmtId="167" fontId="6" fillId="0" borderId="20" xfId="0" applyNumberFormat="1" applyFont="1" applyFill="1" applyBorder="1" applyAlignment="1">
      <alignment horizontal="center" vertical="center"/>
    </xf>
    <xf numFmtId="2" fontId="46" fillId="0" borderId="6" xfId="0" applyNumberFormat="1" applyFont="1" applyBorder="1" applyAlignment="1">
      <alignment horizontal="center" vertical="center"/>
    </xf>
    <xf numFmtId="0" fontId="46" fillId="0" borderId="6" xfId="0" applyFont="1" applyBorder="1" applyAlignment="1">
      <alignment horizontal="center" vertical="center"/>
    </xf>
    <xf numFmtId="0" fontId="3" fillId="24" borderId="44" xfId="0" applyFont="1" applyFill="1" applyBorder="1" applyAlignment="1" applyProtection="1">
      <alignment vertical="center"/>
    </xf>
    <xf numFmtId="0" fontId="4" fillId="24" borderId="44" xfId="0" applyFont="1" applyFill="1" applyBorder="1" applyAlignment="1" applyProtection="1">
      <alignment horizontal="center" vertical="center"/>
    </xf>
    <xf numFmtId="0" fontId="3" fillId="24" borderId="44" xfId="0" applyFont="1" applyFill="1" applyBorder="1" applyAlignment="1" applyProtection="1">
      <alignment horizontal="center" vertical="center"/>
    </xf>
    <xf numFmtId="0" fontId="3" fillId="24" borderId="31" xfId="0" applyFont="1" applyFill="1" applyBorder="1" applyAlignment="1" applyProtection="1">
      <alignment horizontal="center" vertical="center"/>
    </xf>
    <xf numFmtId="0" fontId="8" fillId="0" borderId="5" xfId="0" applyFont="1" applyBorder="1" applyAlignment="1" applyProtection="1">
      <alignment horizontal="left" vertical="top" wrapText="1"/>
    </xf>
    <xf numFmtId="167" fontId="34" fillId="25" borderId="3" xfId="0" applyNumberFormat="1" applyFont="1" applyFill="1" applyBorder="1" applyAlignment="1">
      <alignment horizontal="center" vertical="center"/>
    </xf>
    <xf numFmtId="164" fontId="34" fillId="25" borderId="3" xfId="0" applyNumberFormat="1" applyFont="1" applyFill="1" applyBorder="1" applyAlignment="1">
      <alignment horizontal="center" vertical="center"/>
    </xf>
    <xf numFmtId="167" fontId="34" fillId="25" borderId="4" xfId="0" applyNumberFormat="1" applyFont="1" applyFill="1" applyBorder="1" applyAlignment="1">
      <alignment horizontal="center" vertical="center"/>
    </xf>
    <xf numFmtId="0" fontId="3" fillId="0" borderId="11" xfId="0" applyFont="1" applyBorder="1" applyAlignment="1" applyProtection="1">
      <alignment horizontal="center" vertical="center"/>
    </xf>
    <xf numFmtId="0" fontId="3" fillId="0" borderId="42" xfId="0" applyFont="1" applyBorder="1" applyAlignment="1" applyProtection="1">
      <alignment vertical="center"/>
    </xf>
    <xf numFmtId="0" fontId="3" fillId="0" borderId="3" xfId="0" applyFont="1" applyBorder="1" applyAlignment="1" applyProtection="1">
      <alignment horizontal="center" vertical="center"/>
    </xf>
    <xf numFmtId="0" fontId="3" fillId="0" borderId="47" xfId="0" applyFont="1" applyBorder="1" applyAlignment="1" applyProtection="1">
      <alignment vertical="center"/>
    </xf>
    <xf numFmtId="0" fontId="3" fillId="0" borderId="4" xfId="0" applyFont="1" applyBorder="1" applyAlignment="1" applyProtection="1">
      <alignment horizontal="center" vertical="center"/>
    </xf>
    <xf numFmtId="0" fontId="3" fillId="0" borderId="20" xfId="0" applyFont="1" applyBorder="1" applyAlignment="1" applyProtection="1">
      <alignment vertical="center"/>
    </xf>
    <xf numFmtId="0" fontId="8" fillId="0" borderId="13" xfId="0" applyFont="1" applyBorder="1" applyAlignment="1" applyProtection="1">
      <alignment horizontal="left" vertical="top" wrapText="1"/>
    </xf>
    <xf numFmtId="0" fontId="8" fillId="0" borderId="14" xfId="0" applyFont="1" applyBorder="1" applyAlignment="1" applyProtection="1">
      <alignment horizontal="left" vertical="top" wrapText="1"/>
    </xf>
    <xf numFmtId="2" fontId="46" fillId="0" borderId="14" xfId="0" applyNumberFormat="1" applyFont="1" applyBorder="1" applyAlignment="1">
      <alignment horizontal="center" vertical="center"/>
    </xf>
    <xf numFmtId="0" fontId="46" fillId="0" borderId="14" xfId="0" applyFont="1" applyBorder="1" applyAlignment="1">
      <alignment horizontal="center" vertical="center"/>
    </xf>
    <xf numFmtId="168" fontId="34" fillId="25" borderId="4" xfId="0" applyNumberFormat="1" applyFont="1" applyFill="1" applyBorder="1" applyAlignment="1">
      <alignment horizontal="center" vertical="center"/>
    </xf>
    <xf numFmtId="0" fontId="8" fillId="0" borderId="37" xfId="0" applyFont="1" applyBorder="1" applyAlignment="1" applyProtection="1">
      <alignment horizontal="left" vertical="top"/>
    </xf>
    <xf numFmtId="0" fontId="37" fillId="0" borderId="120" xfId="0" applyFont="1" applyBorder="1"/>
    <xf numFmtId="0" fontId="37" fillId="0" borderId="38" xfId="0" applyFont="1" applyBorder="1"/>
    <xf numFmtId="0" fontId="37" fillId="0" borderId="10" xfId="0" applyFont="1" applyBorder="1" applyAlignment="1">
      <alignment horizontal="center" vertical="center"/>
    </xf>
    <xf numFmtId="2" fontId="34" fillId="25" borderId="4" xfId="0" applyNumberFormat="1" applyFont="1" applyFill="1" applyBorder="1" applyAlignment="1">
      <alignment horizontal="center" vertical="center"/>
    </xf>
    <xf numFmtId="2" fontId="34" fillId="25" borderId="11" xfId="0" applyNumberFormat="1" applyFont="1" applyFill="1" applyBorder="1" applyAlignment="1">
      <alignment horizontal="center" vertical="center"/>
    </xf>
    <xf numFmtId="168" fontId="34" fillId="25" borderId="11" xfId="0" applyNumberFormat="1" applyFont="1" applyFill="1" applyBorder="1" applyAlignment="1">
      <alignment horizontal="center"/>
    </xf>
    <xf numFmtId="170" fontId="34" fillId="25" borderId="11" xfId="0" applyNumberFormat="1" applyFont="1" applyFill="1" applyBorder="1" applyAlignment="1">
      <alignment horizontal="center" vertical="center"/>
    </xf>
    <xf numFmtId="0" fontId="37" fillId="0" borderId="12" xfId="0" applyFont="1" applyBorder="1" applyAlignment="1">
      <alignment horizontal="center" vertical="center"/>
    </xf>
    <xf numFmtId="0" fontId="37" fillId="0" borderId="13" xfId="0" applyFont="1" applyBorder="1" applyAlignment="1">
      <alignment horizontal="center" vertical="top"/>
    </xf>
    <xf numFmtId="0" fontId="37" fillId="0" borderId="15" xfId="0" applyFont="1" applyBorder="1" applyAlignment="1">
      <alignment horizontal="center" vertical="top"/>
    </xf>
    <xf numFmtId="168" fontId="34" fillId="25" borderId="10" xfId="0" applyNumberFormat="1" applyFont="1" applyFill="1" applyBorder="1" applyAlignment="1">
      <alignment horizontal="center" vertical="center"/>
    </xf>
    <xf numFmtId="168" fontId="34" fillId="25" borderId="12" xfId="0" applyNumberFormat="1" applyFont="1" applyFill="1" applyBorder="1" applyAlignment="1">
      <alignment horizontal="center" vertical="center"/>
    </xf>
    <xf numFmtId="0" fontId="3" fillId="0" borderId="137" xfId="0" applyFont="1" applyBorder="1" applyAlignment="1" applyProtection="1">
      <alignment horizontal="center" vertical="center"/>
    </xf>
    <xf numFmtId="0" fontId="3" fillId="0" borderId="139" xfId="0" applyFont="1" applyBorder="1" applyAlignment="1" applyProtection="1">
      <alignment horizontal="center" vertical="center"/>
    </xf>
    <xf numFmtId="0" fontId="34" fillId="25" borderId="6" xfId="0"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3" fillId="0" borderId="13" xfId="0" applyFont="1" applyBorder="1" applyAlignment="1" applyProtection="1">
      <alignment horizontal="center" vertical="center"/>
    </xf>
    <xf numFmtId="0" fontId="37" fillId="0" borderId="14" xfId="0" applyFont="1" applyBorder="1" applyAlignment="1">
      <alignment horizontal="center" vertical="center"/>
    </xf>
    <xf numFmtId="0" fontId="3" fillId="0" borderId="14" xfId="0" applyFont="1" applyFill="1" applyBorder="1" applyAlignment="1" applyProtection="1">
      <alignment horizontal="center" vertical="center"/>
    </xf>
    <xf numFmtId="0" fontId="3" fillId="0" borderId="14" xfId="0" applyFont="1" applyBorder="1" applyAlignment="1" applyProtection="1">
      <alignment horizontal="center" vertical="center"/>
    </xf>
    <xf numFmtId="0" fontId="3" fillId="0" borderId="15" xfId="0" applyFont="1" applyBorder="1" applyAlignment="1" applyProtection="1">
      <alignment horizontal="center" vertical="center"/>
    </xf>
    <xf numFmtId="167" fontId="34" fillId="25" borderId="10" xfId="0" applyNumberFormat="1" applyFont="1" applyFill="1" applyBorder="1" applyAlignment="1" applyProtection="1">
      <alignment horizontal="center" vertical="center"/>
    </xf>
    <xf numFmtId="0" fontId="3" fillId="23" borderId="1" xfId="25" applyNumberFormat="1" applyFont="1" applyFill="1" applyBorder="1" applyAlignment="1" applyProtection="1">
      <alignment horizontal="center" vertical="center"/>
      <protection locked="0"/>
    </xf>
    <xf numFmtId="2" fontId="34" fillId="25" borderId="6" xfId="0" applyNumberFormat="1" applyFont="1" applyFill="1" applyBorder="1" applyAlignment="1" applyProtection="1">
      <alignment horizontal="center" vertical="center"/>
    </xf>
    <xf numFmtId="0" fontId="3" fillId="0" borderId="0" xfId="0" applyFont="1" applyAlignment="1">
      <alignment horizontal="left" vertical="top" wrapText="1"/>
    </xf>
    <xf numFmtId="0" fontId="3" fillId="0" borderId="16" xfId="0" applyFont="1" applyBorder="1" applyAlignment="1">
      <alignment horizontal="left" vertical="top"/>
    </xf>
    <xf numFmtId="0" fontId="3" fillId="0" borderId="21" xfId="0" applyFont="1" applyBorder="1" applyAlignment="1">
      <alignment horizontal="left" vertical="top"/>
    </xf>
    <xf numFmtId="0" fontId="3" fillId="0" borderId="19" xfId="0" applyFont="1" applyBorder="1" applyAlignment="1">
      <alignment horizontal="left" vertical="top"/>
    </xf>
    <xf numFmtId="0" fontId="3" fillId="0" borderId="0" xfId="0" applyFont="1" applyAlignment="1">
      <alignment horizontal="left" vertical="top"/>
    </xf>
    <xf numFmtId="0" fontId="3" fillId="0" borderId="18" xfId="0" applyFont="1" applyBorder="1" applyAlignment="1">
      <alignment horizontal="left" vertical="top"/>
    </xf>
    <xf numFmtId="0" fontId="3" fillId="0" borderId="42" xfId="0" applyFont="1" applyBorder="1" applyAlignment="1">
      <alignment horizontal="left" vertical="top"/>
    </xf>
    <xf numFmtId="0" fontId="3" fillId="0" borderId="22" xfId="0" applyFont="1" applyBorder="1" applyAlignment="1">
      <alignment horizontal="left" vertical="top"/>
    </xf>
    <xf numFmtId="0" fontId="3" fillId="24" borderId="30" xfId="0" applyFont="1" applyFill="1" applyBorder="1"/>
    <xf numFmtId="0" fontId="46" fillId="24" borderId="44" xfId="34" applyFill="1" applyBorder="1"/>
    <xf numFmtId="0" fontId="3" fillId="0" borderId="121" xfId="28" applyFont="1" applyBorder="1" applyAlignment="1">
      <alignment vertical="center"/>
    </xf>
    <xf numFmtId="0" fontId="34" fillId="25" borderId="7" xfId="20" applyFont="1" applyFill="1" applyBorder="1" applyAlignment="1" applyProtection="1">
      <alignment horizontal="center" vertical="center"/>
    </xf>
    <xf numFmtId="0" fontId="3" fillId="0" borderId="22" xfId="28" applyFont="1" applyBorder="1" applyAlignment="1">
      <alignment vertical="center"/>
    </xf>
    <xf numFmtId="0" fontId="3" fillId="0" borderId="108" xfId="28" applyFont="1" applyBorder="1" applyAlignment="1">
      <alignment vertical="center"/>
    </xf>
    <xf numFmtId="0" fontId="25" fillId="0" borderId="0" xfId="25" applyFont="1" applyBorder="1" applyAlignment="1">
      <alignment vertical="center"/>
    </xf>
    <xf numFmtId="0" fontId="37" fillId="0" borderId="3" xfId="0" applyFont="1" applyBorder="1"/>
    <xf numFmtId="0" fontId="37" fillId="0" borderId="1" xfId="0" applyFont="1" applyBorder="1" applyAlignment="1">
      <alignment horizontal="center" vertical="center"/>
    </xf>
    <xf numFmtId="0" fontId="46" fillId="30" borderId="30" xfId="0" applyFont="1" applyFill="1" applyBorder="1" applyAlignment="1" applyProtection="1">
      <alignment vertical="center"/>
    </xf>
    <xf numFmtId="0" fontId="46" fillId="30" borderId="44" xfId="0" applyFont="1" applyFill="1" applyBorder="1" applyAlignment="1" applyProtection="1">
      <alignment vertical="center"/>
    </xf>
    <xf numFmtId="0" fontId="46" fillId="30" borderId="31" xfId="0" applyFont="1" applyFill="1" applyBorder="1" applyAlignment="1" applyProtection="1">
      <alignment vertical="center"/>
    </xf>
    <xf numFmtId="0" fontId="46" fillId="0" borderId="0" xfId="0" applyFont="1" applyFill="1" applyBorder="1" applyAlignment="1" applyProtection="1">
      <alignment vertical="center"/>
    </xf>
    <xf numFmtId="0" fontId="37" fillId="0" borderId="0" xfId="0" applyFont="1" applyFill="1" applyBorder="1" applyAlignment="1">
      <alignment horizontal="center" vertical="center"/>
    </xf>
    <xf numFmtId="0" fontId="37" fillId="0" borderId="0" xfId="0" applyFont="1" applyFill="1" applyBorder="1" applyAlignment="1" applyProtection="1">
      <alignment horizontal="center" vertical="center"/>
    </xf>
    <xf numFmtId="0" fontId="34" fillId="0" borderId="0" xfId="0" applyFont="1" applyFill="1" applyBorder="1" applyAlignment="1">
      <alignment horizontal="center" vertical="center"/>
    </xf>
    <xf numFmtId="0" fontId="68" fillId="0" borderId="1" xfId="0" applyFont="1" applyBorder="1" applyAlignment="1">
      <alignment horizontal="center" vertical="center"/>
    </xf>
    <xf numFmtId="0" fontId="6" fillId="5" borderId="62" xfId="20" applyFont="1" applyFill="1" applyBorder="1" applyAlignment="1" applyProtection="1">
      <alignment horizontal="left" vertical="top" wrapText="1"/>
      <protection locked="0"/>
    </xf>
    <xf numFmtId="0" fontId="6" fillId="5" borderId="132" xfId="20" applyFont="1" applyFill="1" applyBorder="1" applyAlignment="1" applyProtection="1">
      <alignment horizontal="center" vertical="center" wrapText="1"/>
      <protection locked="0"/>
    </xf>
    <xf numFmtId="0" fontId="6" fillId="23" borderId="1" xfId="20" applyFont="1" applyFill="1" applyBorder="1" applyAlignment="1" applyProtection="1">
      <alignment horizontal="center" vertical="center" wrapText="1"/>
      <protection locked="0"/>
    </xf>
    <xf numFmtId="0" fontId="6" fillId="23" borderId="62" xfId="20" applyFont="1" applyFill="1" applyBorder="1" applyAlignment="1" applyProtection="1">
      <alignment horizontal="center" vertical="center" wrapText="1"/>
      <protection locked="0"/>
    </xf>
    <xf numFmtId="0" fontId="6" fillId="23" borderId="11" xfId="20" applyFont="1" applyFill="1" applyBorder="1" applyAlignment="1" applyProtection="1">
      <alignment horizontal="center" vertical="center" wrapText="1"/>
      <protection locked="0"/>
    </xf>
    <xf numFmtId="0" fontId="68" fillId="0" borderId="10" xfId="0" applyFont="1" applyBorder="1" applyAlignment="1">
      <alignment horizontal="center" vertical="center"/>
    </xf>
    <xf numFmtId="0" fontId="46" fillId="0" borderId="5" xfId="0" applyFont="1" applyBorder="1"/>
    <xf numFmtId="0" fontId="34" fillId="25" borderId="11" xfId="25" applyNumberFormat="1" applyFont="1" applyFill="1" applyBorder="1" applyAlignment="1" applyProtection="1">
      <alignment horizontal="center" vertical="center"/>
      <protection locked="0"/>
    </xf>
    <xf numFmtId="0" fontId="3" fillId="0" borderId="0" xfId="0" applyFont="1" applyFill="1" applyBorder="1" applyAlignment="1" applyProtection="1">
      <alignment vertical="center"/>
    </xf>
    <xf numFmtId="2" fontId="34" fillId="25" borderId="1" xfId="0" applyNumberFormat="1" applyFont="1" applyFill="1" applyBorder="1" applyAlignment="1" applyProtection="1">
      <alignment horizontal="center" vertical="center"/>
    </xf>
    <xf numFmtId="1" fontId="34" fillId="25" borderId="1" xfId="0" applyNumberFormat="1" applyFont="1" applyFill="1" applyBorder="1" applyAlignment="1" applyProtection="1">
      <alignment horizontal="center" vertical="center"/>
    </xf>
    <xf numFmtId="0" fontId="3" fillId="0" borderId="0" xfId="0" applyFont="1" applyBorder="1" applyAlignment="1" applyProtection="1">
      <alignment horizontal="left" vertical="center"/>
    </xf>
    <xf numFmtId="1" fontId="34"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horizontal="left" vertical="center"/>
    </xf>
    <xf numFmtId="2" fontId="34" fillId="0" borderId="0" xfId="0" applyNumberFormat="1" applyFont="1" applyFill="1" applyBorder="1" applyAlignment="1" applyProtection="1">
      <alignment horizontal="center" vertical="center"/>
    </xf>
    <xf numFmtId="2" fontId="34" fillId="25" borderId="65" xfId="0" applyNumberFormat="1" applyFont="1" applyFill="1" applyBorder="1" applyAlignment="1" applyProtection="1">
      <alignment horizontal="center" vertical="center"/>
    </xf>
    <xf numFmtId="2" fontId="34" fillId="25" borderId="62" xfId="0" applyNumberFormat="1" applyFont="1" applyFill="1" applyBorder="1" applyAlignment="1" applyProtection="1">
      <alignment horizontal="center" vertical="center"/>
    </xf>
    <xf numFmtId="166" fontId="34" fillId="25" borderId="1" xfId="0" applyNumberFormat="1" applyFont="1" applyFill="1" applyBorder="1" applyAlignment="1" applyProtection="1">
      <alignment horizontal="center" vertical="center"/>
    </xf>
    <xf numFmtId="0" fontId="3" fillId="0" borderId="141" xfId="0" applyFont="1" applyFill="1" applyBorder="1" applyAlignment="1" applyProtection="1">
      <alignment horizontal="center" vertical="center"/>
    </xf>
    <xf numFmtId="0" fontId="3" fillId="0" borderId="139" xfId="0" applyFont="1" applyFill="1" applyBorder="1" applyAlignment="1" applyProtection="1">
      <alignment horizontal="center" vertical="center"/>
    </xf>
    <xf numFmtId="0" fontId="3" fillId="0" borderId="93" xfId="0" applyFont="1" applyBorder="1" applyAlignment="1" applyProtection="1">
      <alignment horizontal="center" vertical="center"/>
    </xf>
    <xf numFmtId="0" fontId="3" fillId="0" borderId="100" xfId="0" applyFont="1" applyBorder="1" applyAlignment="1" applyProtection="1">
      <alignment horizontal="center" vertical="center"/>
    </xf>
    <xf numFmtId="0" fontId="34" fillId="0" borderId="100" xfId="20" applyNumberFormat="1" applyFont="1" applyFill="1" applyBorder="1" applyAlignment="1" applyProtection="1">
      <alignment horizontal="center" vertical="center" wrapText="1"/>
    </xf>
    <xf numFmtId="0" fontId="3" fillId="0" borderId="100" xfId="0" applyFont="1" applyFill="1" applyBorder="1" applyAlignment="1" applyProtection="1">
      <alignment horizontal="center" vertical="center"/>
    </xf>
    <xf numFmtId="2" fontId="9" fillId="0" borderId="100" xfId="20" applyNumberFormat="1" applyFont="1" applyFill="1" applyBorder="1" applyAlignment="1" applyProtection="1">
      <alignment horizontal="center" vertical="center" wrapText="1"/>
    </xf>
    <xf numFmtId="0" fontId="3" fillId="0" borderId="93" xfId="0" applyFont="1" applyFill="1" applyBorder="1" applyAlignment="1" applyProtection="1">
      <alignment horizontal="center" vertical="center"/>
    </xf>
    <xf numFmtId="0" fontId="34" fillId="0" borderId="93" xfId="0" applyFont="1" applyFill="1" applyBorder="1" applyAlignment="1" applyProtection="1">
      <alignment horizontal="center" vertical="center"/>
    </xf>
    <xf numFmtId="1" fontId="9" fillId="8" borderId="6" xfId="20" applyNumberFormat="1" applyFont="1" applyFill="1" applyBorder="1" applyAlignment="1" applyProtection="1">
      <alignment horizontal="center" vertical="center" wrapText="1"/>
    </xf>
    <xf numFmtId="0" fontId="3" fillId="0" borderId="93" xfId="0" applyFont="1" applyBorder="1" applyAlignment="1" applyProtection="1">
      <alignment vertical="center"/>
    </xf>
    <xf numFmtId="0" fontId="3" fillId="0" borderId="100" xfId="0" applyFont="1" applyFill="1" applyBorder="1" applyAlignment="1" applyProtection="1">
      <alignment vertical="center"/>
    </xf>
    <xf numFmtId="0" fontId="34" fillId="0" borderId="100" xfId="0" applyFont="1" applyFill="1" applyBorder="1" applyAlignment="1" applyProtection="1">
      <alignment horizontal="center" vertical="center"/>
    </xf>
    <xf numFmtId="0" fontId="3" fillId="0" borderId="100" xfId="0" applyFont="1" applyBorder="1" applyAlignment="1" applyProtection="1">
      <alignment horizontal="left" vertical="center"/>
    </xf>
    <xf numFmtId="2" fontId="34" fillId="0" borderId="93" xfId="0" applyNumberFormat="1" applyFont="1" applyFill="1" applyBorder="1" applyAlignment="1" applyProtection="1">
      <alignment horizontal="center" vertical="center"/>
    </xf>
    <xf numFmtId="0" fontId="3" fillId="23" borderId="77" xfId="25" applyNumberFormat="1" applyFont="1" applyFill="1" applyBorder="1" applyAlignment="1" applyProtection="1">
      <alignment horizontal="center" vertical="center"/>
      <protection locked="0"/>
    </xf>
    <xf numFmtId="0" fontId="3" fillId="0" borderId="142" xfId="0" applyFont="1" applyBorder="1" applyAlignment="1" applyProtection="1">
      <alignment vertical="center" wrapText="1"/>
    </xf>
    <xf numFmtId="0" fontId="3" fillId="0" borderId="142" xfId="0" applyFont="1" applyFill="1" applyBorder="1" applyAlignment="1" applyProtection="1">
      <alignment vertical="center" wrapText="1"/>
    </xf>
    <xf numFmtId="0" fontId="3" fillId="0" borderId="143" xfId="0" applyFont="1" applyBorder="1" applyAlignment="1" applyProtection="1">
      <alignment vertical="center" wrapText="1"/>
    </xf>
    <xf numFmtId="0" fontId="3" fillId="0" borderId="143" xfId="0" applyFont="1" applyFill="1" applyBorder="1" applyAlignment="1" applyProtection="1">
      <alignment vertical="center" wrapText="1"/>
    </xf>
    <xf numFmtId="0" fontId="3" fillId="0" borderId="144" xfId="0" applyFont="1" applyBorder="1" applyAlignment="1" applyProtection="1">
      <alignment vertical="center" wrapText="1"/>
    </xf>
    <xf numFmtId="0" fontId="3" fillId="0" borderId="145" xfId="0" applyFont="1" applyBorder="1" applyAlignment="1" applyProtection="1">
      <alignment horizontal="center" vertical="center"/>
    </xf>
    <xf numFmtId="0" fontId="3" fillId="0" borderId="146" xfId="0" applyFont="1" applyBorder="1" applyAlignment="1" applyProtection="1">
      <alignment horizontal="center" vertical="center"/>
    </xf>
    <xf numFmtId="1" fontId="34" fillId="25" borderId="11" xfId="0" applyNumberFormat="1" applyFont="1" applyFill="1" applyBorder="1" applyAlignment="1" applyProtection="1">
      <alignment horizontal="center" vertical="center"/>
    </xf>
    <xf numFmtId="0" fontId="3" fillId="0" borderId="20" xfId="0" applyFont="1" applyBorder="1" applyAlignment="1" applyProtection="1">
      <alignment horizontal="left" vertical="center"/>
    </xf>
    <xf numFmtId="0" fontId="3" fillId="0" borderId="97" xfId="0" applyFont="1" applyBorder="1" applyAlignment="1" applyProtection="1">
      <alignment horizontal="left" vertical="center"/>
    </xf>
    <xf numFmtId="0" fontId="3" fillId="0" borderId="36" xfId="0" applyFont="1" applyBorder="1" applyAlignment="1" applyProtection="1">
      <alignment horizontal="center" vertical="center"/>
    </xf>
    <xf numFmtId="0" fontId="13" fillId="19" borderId="30" xfId="15" applyFont="1" applyBorder="1" applyAlignment="1">
      <alignment horizontal="left" vertical="center"/>
    </xf>
    <xf numFmtId="0" fontId="13" fillId="19" borderId="31" xfId="15" applyFont="1" applyBorder="1" applyAlignment="1">
      <alignment horizontal="left" vertical="center"/>
    </xf>
    <xf numFmtId="0" fontId="8" fillId="0" borderId="13" xfId="0" applyNumberFormat="1" applyFont="1" applyBorder="1" applyAlignment="1" applyProtection="1">
      <alignment wrapText="1"/>
    </xf>
    <xf numFmtId="0" fontId="9" fillId="8" borderId="147" xfId="25" applyNumberFormat="1" applyFont="1" applyFill="1" applyBorder="1" applyAlignment="1" applyProtection="1">
      <alignment horizontal="center" vertical="center"/>
    </xf>
    <xf numFmtId="166" fontId="4" fillId="0" borderId="0" xfId="0" applyNumberFormat="1" applyFont="1" applyAlignment="1" applyProtection="1">
      <alignment wrapText="1"/>
    </xf>
    <xf numFmtId="169" fontId="9" fillId="8" borderId="6" xfId="20" applyNumberFormat="1" applyFont="1" applyFill="1" applyBorder="1" applyAlignment="1" applyProtection="1">
      <alignment horizontal="center" vertical="center" wrapText="1"/>
    </xf>
    <xf numFmtId="0" fontId="13" fillId="19" borderId="30" xfId="15" applyFont="1" applyBorder="1" applyAlignment="1" applyProtection="1">
      <alignment horizontal="left" vertical="center"/>
    </xf>
    <xf numFmtId="0" fontId="13" fillId="19" borderId="44" xfId="15" applyFont="1" applyBorder="1" applyAlignment="1" applyProtection="1">
      <alignment horizontal="left" vertical="center"/>
    </xf>
    <xf numFmtId="0" fontId="13" fillId="19" borderId="31" xfId="15" applyFont="1" applyBorder="1" applyAlignment="1" applyProtection="1">
      <alignment horizontal="left" vertical="center"/>
    </xf>
    <xf numFmtId="166" fontId="9" fillId="8" borderId="62" xfId="20" applyNumberFormat="1" applyFont="1" applyFill="1" applyBorder="1" applyAlignment="1" applyProtection="1">
      <alignment horizontal="center" vertical="center" wrapText="1"/>
    </xf>
    <xf numFmtId="168" fontId="34" fillId="25" borderId="1" xfId="0" applyNumberFormat="1" applyFont="1" applyFill="1" applyBorder="1" applyAlignment="1" applyProtection="1">
      <alignment horizontal="center" vertical="center"/>
    </xf>
    <xf numFmtId="0" fontId="6" fillId="0" borderId="93" xfId="0" applyFont="1" applyFill="1" applyBorder="1" applyAlignment="1" applyProtection="1">
      <alignment horizontal="center" vertical="center"/>
    </xf>
    <xf numFmtId="2" fontId="6" fillId="0" borderId="0" xfId="0" applyNumberFormat="1" applyFont="1" applyFill="1" applyBorder="1" applyAlignment="1" applyProtection="1">
      <alignment horizontal="center" vertical="center"/>
    </xf>
    <xf numFmtId="167" fontId="3" fillId="0" borderId="93" xfId="0" applyNumberFormat="1" applyFont="1" applyBorder="1" applyAlignment="1" applyProtection="1">
      <alignment horizontal="center" vertical="center"/>
    </xf>
    <xf numFmtId="167" fontId="34" fillId="25" borderId="1" xfId="32" applyNumberFormat="1" applyFont="1" applyFill="1" applyBorder="1" applyAlignment="1" applyProtection="1">
      <alignment horizontal="center" vertical="center" wrapText="1"/>
    </xf>
    <xf numFmtId="167" fontId="9" fillId="25" borderId="1" xfId="20" applyNumberFormat="1" applyFont="1" applyFill="1" applyBorder="1" applyAlignment="1" applyProtection="1">
      <alignment horizontal="center" vertical="center" wrapText="1"/>
    </xf>
    <xf numFmtId="2" fontId="23" fillId="8" borderId="1" xfId="32" quotePrefix="1" applyNumberFormat="1" applyFont="1" applyFill="1" applyBorder="1" applyAlignment="1">
      <alignment horizontal="center" vertical="center"/>
    </xf>
    <xf numFmtId="0" fontId="3" fillId="0" borderId="0" xfId="28" applyFont="1" applyFill="1" applyBorder="1" applyAlignment="1">
      <alignment vertical="center"/>
    </xf>
    <xf numFmtId="0" fontId="23" fillId="0" borderId="0" xfId="32" quotePrefix="1" applyNumberFormat="1" applyFont="1" applyFill="1" applyBorder="1" applyAlignment="1">
      <alignment horizontal="center" vertical="center"/>
    </xf>
    <xf numFmtId="0" fontId="8" fillId="0" borderId="0" xfId="25" applyFont="1" applyFill="1" applyBorder="1" applyAlignment="1">
      <alignment horizontal="center" vertical="center"/>
    </xf>
    <xf numFmtId="2" fontId="23" fillId="8" borderId="11" xfId="32" quotePrefix="1" applyNumberFormat="1" applyFont="1" applyFill="1" applyBorder="1" applyAlignment="1">
      <alignment horizontal="center" vertical="center"/>
    </xf>
    <xf numFmtId="0" fontId="8" fillId="0" borderId="36" xfId="35" applyFont="1" applyBorder="1" applyAlignment="1">
      <alignment horizontal="center" vertical="center" wrapText="1"/>
    </xf>
    <xf numFmtId="0" fontId="3" fillId="0" borderId="26" xfId="28" applyFont="1" applyFill="1" applyBorder="1" applyAlignment="1">
      <alignment vertical="center"/>
    </xf>
    <xf numFmtId="164" fontId="9" fillId="8" borderId="6" xfId="20" applyNumberFormat="1" applyFont="1" applyFill="1" applyBorder="1" applyAlignment="1" applyProtection="1">
      <alignment horizontal="center" vertical="center" wrapText="1"/>
    </xf>
    <xf numFmtId="14" fontId="34" fillId="25" borderId="10" xfId="20" applyNumberFormat="1" applyFont="1" applyFill="1" applyBorder="1" applyAlignment="1" applyProtection="1">
      <alignment horizontal="center" vertical="center" wrapText="1"/>
    </xf>
    <xf numFmtId="14" fontId="34" fillId="25" borderId="12" xfId="20" applyNumberFormat="1" applyFont="1" applyFill="1" applyBorder="1" applyAlignment="1" applyProtection="1">
      <alignment horizontal="center" vertical="center" wrapText="1"/>
    </xf>
    <xf numFmtId="0" fontId="3" fillId="0" borderId="148" xfId="0" applyNumberFormat="1" applyFont="1" applyBorder="1" applyAlignment="1" applyProtection="1">
      <alignment horizontal="center" vertical="center"/>
    </xf>
    <xf numFmtId="0" fontId="3" fillId="0" borderId="23" xfId="25" applyNumberFormat="1" applyFont="1" applyBorder="1" applyAlignment="1" applyProtection="1">
      <alignment vertical="top" wrapText="1"/>
    </xf>
    <xf numFmtId="0" fontId="3" fillId="0" borderId="149" xfId="25" applyNumberFormat="1" applyFont="1" applyBorder="1" applyAlignment="1" applyProtection="1">
      <alignment vertical="top" wrapText="1"/>
    </xf>
    <xf numFmtId="0" fontId="3" fillId="0" borderId="150" xfId="25" applyNumberFormat="1" applyFont="1" applyBorder="1" applyAlignment="1" applyProtection="1">
      <alignment vertical="top" wrapText="1"/>
    </xf>
    <xf numFmtId="0" fontId="3" fillId="0" borderId="99" xfId="25" applyNumberFormat="1" applyFont="1" applyBorder="1" applyAlignment="1" applyProtection="1">
      <alignment vertical="top" wrapText="1"/>
    </xf>
    <xf numFmtId="0" fontId="3" fillId="0" borderId="102" xfId="0" applyNumberFormat="1" applyFont="1" applyBorder="1" applyAlignment="1" applyProtection="1">
      <alignment horizontal="center" vertical="center"/>
    </xf>
    <xf numFmtId="0" fontId="3" fillId="0" borderId="152" xfId="0" applyNumberFormat="1" applyFont="1" applyBorder="1" applyAlignment="1" applyProtection="1">
      <alignment horizontal="center" vertical="center"/>
    </xf>
    <xf numFmtId="0" fontId="3" fillId="0" borderId="154" xfId="0" applyNumberFormat="1" applyFont="1" applyBorder="1" applyAlignment="1" applyProtection="1">
      <alignment horizontal="center" vertical="center"/>
    </xf>
    <xf numFmtId="0" fontId="3" fillId="0" borderId="153" xfId="0" applyNumberFormat="1" applyFont="1" applyBorder="1" applyAlignment="1" applyProtection="1">
      <alignment horizontal="center" vertical="center"/>
    </xf>
    <xf numFmtId="0" fontId="3" fillId="0" borderId="155" xfId="0" applyNumberFormat="1" applyFont="1" applyBorder="1" applyAlignment="1" applyProtection="1">
      <alignment horizontal="center" vertical="center"/>
    </xf>
    <xf numFmtId="0" fontId="51" fillId="0" borderId="153" xfId="0" applyNumberFormat="1" applyFont="1" applyBorder="1" applyAlignment="1" applyProtection="1">
      <alignment horizontal="center" vertical="center"/>
    </xf>
    <xf numFmtId="0" fontId="3" fillId="0" borderId="156" xfId="0" applyNumberFormat="1" applyFont="1" applyBorder="1" applyAlignment="1" applyProtection="1">
      <alignment horizontal="center" vertical="center"/>
    </xf>
    <xf numFmtId="0" fontId="3" fillId="0" borderId="157" xfId="0" applyNumberFormat="1" applyFont="1" applyBorder="1" applyAlignment="1" applyProtection="1">
      <alignment horizontal="center" vertical="center"/>
    </xf>
    <xf numFmtId="0" fontId="3" fillId="0" borderId="93" xfId="0" applyNumberFormat="1" applyFont="1" applyBorder="1" applyAlignment="1" applyProtection="1">
      <alignment horizontal="center" vertical="center"/>
    </xf>
    <xf numFmtId="0" fontId="3" fillId="0" borderId="159" xfId="0" applyNumberFormat="1" applyFont="1" applyBorder="1" applyAlignment="1" applyProtection="1">
      <alignment horizontal="center" vertical="center"/>
    </xf>
    <xf numFmtId="0" fontId="3" fillId="0" borderId="158" xfId="0" applyNumberFormat="1" applyFont="1" applyBorder="1" applyAlignment="1" applyProtection="1">
      <alignment horizontal="center" vertical="center"/>
    </xf>
    <xf numFmtId="0" fontId="3" fillId="0" borderId="160" xfId="0" applyNumberFormat="1" applyFont="1" applyBorder="1" applyAlignment="1" applyProtection="1">
      <alignment horizontal="center"/>
    </xf>
    <xf numFmtId="0" fontId="3" fillId="0" borderId="5" xfId="0" applyNumberFormat="1" applyFont="1" applyBorder="1" applyAlignment="1" applyProtection="1">
      <alignment wrapText="1"/>
    </xf>
    <xf numFmtId="0" fontId="3" fillId="0" borderId="151" xfId="25" applyNumberFormat="1" applyFont="1" applyBorder="1" applyAlignment="1" applyProtection="1">
      <alignment vertical="center"/>
    </xf>
    <xf numFmtId="169" fontId="9" fillId="25" borderId="6" xfId="20" applyNumberFormat="1" applyFont="1" applyFill="1" applyBorder="1" applyAlignment="1" applyProtection="1">
      <alignment horizontal="center" vertical="center" wrapText="1"/>
    </xf>
    <xf numFmtId="168" fontId="9" fillId="8" borderId="1" xfId="20" applyNumberFormat="1" applyFont="1" applyFill="1" applyBorder="1" applyAlignment="1" applyProtection="1">
      <alignment horizontal="center" vertical="center" wrapText="1"/>
    </xf>
    <xf numFmtId="0" fontId="3" fillId="0" borderId="161" xfId="0" applyFont="1" applyBorder="1" applyAlignment="1" applyProtection="1">
      <alignment horizontal="center" vertical="center"/>
    </xf>
    <xf numFmtId="0" fontId="3" fillId="0" borderId="162" xfId="0" applyFont="1" applyBorder="1" applyAlignment="1" applyProtection="1">
      <alignment horizontal="center" vertical="center"/>
    </xf>
    <xf numFmtId="0" fontId="8" fillId="0" borderId="13" xfId="0" applyNumberFormat="1" applyFont="1" applyBorder="1" applyAlignment="1" applyProtection="1">
      <alignment horizontal="center" wrapText="1"/>
    </xf>
    <xf numFmtId="2" fontId="4" fillId="0" borderId="1" xfId="0" applyNumberFormat="1" applyFont="1" applyFill="1" applyBorder="1" applyAlignment="1">
      <alignment horizontal="center" vertical="center"/>
    </xf>
    <xf numFmtId="168" fontId="3" fillId="0" borderId="1" xfId="0" applyNumberFormat="1" applyFont="1" applyBorder="1" applyAlignment="1">
      <alignment horizontal="center" vertical="center"/>
    </xf>
    <xf numFmtId="0" fontId="37" fillId="0" borderId="3" xfId="0" applyFont="1" applyBorder="1" applyAlignment="1">
      <alignment horizontal="left" vertical="top"/>
    </xf>
    <xf numFmtId="0" fontId="6" fillId="5" borderId="130" xfId="20" applyFont="1" applyFill="1" applyBorder="1" applyAlignment="1" applyProtection="1">
      <alignment horizontal="center" vertical="center" wrapText="1"/>
      <protection locked="0"/>
    </xf>
    <xf numFmtId="0" fontId="6" fillId="23" borderId="6" xfId="20" applyFont="1" applyFill="1" applyBorder="1" applyAlignment="1" applyProtection="1">
      <alignment horizontal="center" vertical="center" wrapText="1"/>
      <protection locked="0"/>
    </xf>
    <xf numFmtId="0" fontId="46" fillId="0" borderId="1" xfId="0" applyFont="1" applyBorder="1" applyAlignment="1">
      <alignment horizontal="center" vertical="center" wrapText="1"/>
    </xf>
    <xf numFmtId="0" fontId="34" fillId="25" borderId="1" xfId="20" applyFont="1" applyFill="1" applyBorder="1" applyAlignment="1" applyProtection="1">
      <alignment horizontal="center" vertical="center" wrapText="1"/>
    </xf>
    <xf numFmtId="0" fontId="34" fillId="25" borderId="6" xfId="20" applyFont="1" applyFill="1" applyBorder="1" applyAlignment="1" applyProtection="1">
      <alignment horizontal="center" vertical="center" wrapText="1"/>
    </xf>
    <xf numFmtId="0" fontId="34" fillId="25" borderId="147" xfId="20" applyFont="1" applyFill="1" applyBorder="1" applyAlignment="1" applyProtection="1">
      <alignment horizontal="center" vertical="center" wrapText="1"/>
    </xf>
    <xf numFmtId="0" fontId="34" fillId="25" borderId="11" xfId="20" applyFont="1" applyFill="1" applyBorder="1" applyAlignment="1" applyProtection="1">
      <alignment horizontal="center" vertical="center" wrapText="1"/>
    </xf>
    <xf numFmtId="0" fontId="46" fillId="0" borderId="62" xfId="0" applyNumberFormat="1" applyFont="1" applyBorder="1" applyAlignment="1" applyProtection="1">
      <alignment horizontal="center" vertical="center"/>
    </xf>
    <xf numFmtId="0" fontId="4" fillId="0" borderId="0" xfId="0" applyFont="1" applyBorder="1" applyAlignment="1" applyProtection="1">
      <alignment horizontal="left" vertical="top"/>
    </xf>
    <xf numFmtId="0" fontId="0" fillId="0" borderId="151" xfId="0" applyNumberFormat="1" applyBorder="1" applyProtection="1"/>
    <xf numFmtId="0" fontId="4" fillId="0" borderId="42" xfId="0" applyFont="1" applyBorder="1" applyAlignment="1" applyProtection="1">
      <alignment horizontal="left" vertical="top"/>
    </xf>
    <xf numFmtId="0" fontId="0" fillId="0" borderId="165" xfId="0" applyNumberFormat="1" applyBorder="1" applyProtection="1"/>
    <xf numFmtId="0" fontId="0" fillId="0" borderId="150" xfId="0" applyNumberFormat="1" applyBorder="1" applyProtection="1"/>
    <xf numFmtId="0" fontId="0" fillId="0" borderId="166" xfId="0" applyNumberFormat="1" applyBorder="1" applyProtection="1"/>
    <xf numFmtId="0" fontId="14" fillId="0" borderId="42" xfId="15" applyNumberFormat="1" applyFont="1" applyFill="1" applyBorder="1" applyProtection="1">
      <alignment horizontal="left" vertical="center"/>
    </xf>
    <xf numFmtId="0" fontId="14" fillId="0" borderId="0" xfId="15" applyNumberFormat="1" applyFont="1" applyFill="1" applyBorder="1" applyAlignment="1" applyProtection="1">
      <alignment horizontal="left" vertical="center"/>
    </xf>
    <xf numFmtId="0" fontId="14" fillId="0" borderId="0" xfId="15" applyNumberFormat="1" applyFont="1" applyFill="1" applyBorder="1" applyProtection="1">
      <alignment horizontal="left" vertical="center"/>
    </xf>
    <xf numFmtId="0" fontId="14" fillId="24" borderId="18" xfId="15" applyNumberFormat="1" applyFont="1" applyFill="1" applyBorder="1" applyProtection="1">
      <alignment horizontal="left" vertical="center"/>
    </xf>
    <xf numFmtId="0" fontId="14" fillId="24" borderId="17" xfId="15" applyNumberFormat="1" applyFont="1" applyFill="1" applyBorder="1" applyAlignment="1" applyProtection="1">
      <alignment horizontal="left" vertical="center"/>
    </xf>
    <xf numFmtId="0" fontId="14" fillId="24" borderId="17" xfId="15" applyNumberFormat="1" applyFont="1" applyFill="1" applyBorder="1" applyProtection="1">
      <alignment horizontal="left" vertical="center"/>
    </xf>
    <xf numFmtId="0" fontId="14" fillId="24" borderId="25" xfId="15" applyNumberFormat="1" applyFont="1" applyFill="1" applyBorder="1" applyAlignment="1" applyProtection="1">
      <alignment horizontal="center" vertical="center"/>
    </xf>
    <xf numFmtId="0" fontId="14" fillId="0" borderId="0" xfId="15" applyNumberFormat="1" applyFont="1" applyFill="1" applyBorder="1" applyAlignment="1" applyProtection="1">
      <alignment horizontal="left" vertical="top" wrapText="1"/>
    </xf>
    <xf numFmtId="0" fontId="59" fillId="0" borderId="66" xfId="15" applyNumberFormat="1" applyFont="1" applyFill="1" applyBorder="1" applyAlignment="1" applyProtection="1">
      <alignment horizontal="left" vertical="top" wrapText="1"/>
    </xf>
    <xf numFmtId="0" fontId="59" fillId="0" borderId="71" xfId="15" applyNumberFormat="1" applyFont="1" applyFill="1" applyBorder="1" applyAlignment="1" applyProtection="1">
      <alignment horizontal="left" vertical="top" wrapText="1"/>
    </xf>
    <xf numFmtId="0" fontId="59" fillId="0" borderId="0" xfId="15" applyNumberFormat="1" applyFont="1" applyFill="1" applyBorder="1" applyAlignment="1" applyProtection="1">
      <alignment horizontal="left" vertical="top" wrapText="1"/>
    </xf>
    <xf numFmtId="0" fontId="59" fillId="0" borderId="42" xfId="15" applyNumberFormat="1" applyFont="1" applyFill="1" applyBorder="1" applyAlignment="1" applyProtection="1">
      <alignment horizontal="left" vertical="top" wrapText="1"/>
    </xf>
    <xf numFmtId="0" fontId="3" fillId="0" borderId="4" xfId="25" applyNumberFormat="1" applyFont="1" applyBorder="1" applyAlignment="1" applyProtection="1">
      <alignment vertical="center"/>
    </xf>
    <xf numFmtId="0" fontId="3" fillId="0" borderId="167" xfId="0" applyNumberFormat="1" applyFont="1" applyBorder="1" applyAlignment="1" applyProtection="1">
      <alignment horizontal="center" vertical="center"/>
    </xf>
    <xf numFmtId="0" fontId="3" fillId="0" borderId="135" xfId="25" applyNumberFormat="1" applyFont="1" applyBorder="1" applyAlignment="1" applyProtection="1">
      <alignment vertical="center" wrapText="1"/>
    </xf>
    <xf numFmtId="0" fontId="34" fillId="25" borderId="11" xfId="25" applyNumberFormat="1" applyFont="1" applyFill="1" applyBorder="1" applyAlignment="1" applyProtection="1">
      <alignment horizontal="center" vertical="center"/>
    </xf>
    <xf numFmtId="0" fontId="3" fillId="0" borderId="168" xfId="0" applyNumberFormat="1" applyFont="1" applyBorder="1" applyAlignment="1" applyProtection="1">
      <alignment horizontal="center" vertical="center"/>
    </xf>
    <xf numFmtId="0" fontId="0" fillId="0" borderId="149" xfId="0" applyNumberFormat="1" applyBorder="1" applyProtection="1"/>
    <xf numFmtId="0" fontId="34" fillId="29" borderId="11" xfId="0" applyFont="1" applyFill="1" applyBorder="1" applyAlignment="1" applyProtection="1">
      <alignment horizontal="center" vertical="center" wrapText="1"/>
    </xf>
    <xf numFmtId="0" fontId="14" fillId="0" borderId="42" xfId="15" applyNumberFormat="1" applyFont="1" applyFill="1" applyBorder="1" applyAlignment="1" applyProtection="1">
      <alignment horizontal="left" vertical="top" wrapText="1"/>
    </xf>
    <xf numFmtId="0" fontId="3" fillId="0" borderId="41" xfId="0" applyNumberFormat="1" applyFont="1" applyFill="1" applyBorder="1" applyAlignment="1" applyProtection="1">
      <alignment vertical="center" wrapText="1"/>
    </xf>
    <xf numFmtId="0" fontId="3" fillId="0" borderId="41" xfId="25" applyNumberFormat="1" applyFont="1" applyBorder="1" applyAlignment="1" applyProtection="1">
      <alignment vertical="center" wrapText="1"/>
    </xf>
    <xf numFmtId="0" fontId="3" fillId="0" borderId="58" xfId="0" applyNumberFormat="1" applyFont="1" applyBorder="1" applyAlignment="1" applyProtection="1">
      <alignment horizontal="center"/>
    </xf>
    <xf numFmtId="0" fontId="3" fillId="0" borderId="42" xfId="25" applyNumberFormat="1" applyFont="1" applyFill="1" applyBorder="1" applyAlignment="1" applyProtection="1">
      <alignment vertical="center" wrapText="1"/>
    </xf>
    <xf numFmtId="0" fontId="3" fillId="0" borderId="169" xfId="0" applyNumberFormat="1" applyFont="1" applyBorder="1" applyAlignment="1" applyProtection="1">
      <alignment horizontal="center" vertical="center"/>
    </xf>
    <xf numFmtId="0" fontId="3" fillId="0" borderId="170" xfId="0" applyFont="1" applyBorder="1" applyAlignment="1" applyProtection="1">
      <alignment vertical="center" wrapText="1"/>
    </xf>
    <xf numFmtId="0" fontId="3" fillId="0" borderId="171" xfId="0" applyFont="1" applyBorder="1" applyAlignment="1" applyProtection="1">
      <alignment horizontal="center" vertical="center"/>
    </xf>
    <xf numFmtId="0" fontId="3" fillId="0" borderId="172" xfId="0" applyFont="1" applyBorder="1" applyAlignment="1" applyProtection="1">
      <alignment horizontal="center" vertical="center"/>
    </xf>
    <xf numFmtId="0" fontId="3" fillId="0" borderId="0" xfId="0" applyFont="1" applyFill="1" applyBorder="1" applyAlignment="1" applyProtection="1">
      <alignment horizontal="center" vertical="center"/>
    </xf>
    <xf numFmtId="0" fontId="61" fillId="0" borderId="0" xfId="0" applyFont="1" applyFill="1" applyBorder="1" applyAlignment="1" applyProtection="1">
      <alignment horizontal="center" vertical="center" wrapText="1"/>
    </xf>
    <xf numFmtId="0" fontId="3" fillId="0" borderId="173" xfId="0" applyFont="1" applyBorder="1" applyAlignment="1" applyProtection="1">
      <alignment vertical="center" wrapText="1"/>
    </xf>
    <xf numFmtId="0" fontId="57" fillId="0" borderId="0" xfId="0" applyFont="1" applyFill="1" applyBorder="1" applyAlignment="1" applyProtection="1">
      <alignment horizontal="center" vertical="center"/>
    </xf>
    <xf numFmtId="0" fontId="3" fillId="0" borderId="174" xfId="0" applyFont="1" applyBorder="1" applyAlignment="1" applyProtection="1">
      <alignment horizontal="center" vertical="center"/>
    </xf>
    <xf numFmtId="168" fontId="9" fillId="0" borderId="0" xfId="20" applyNumberFormat="1" applyFont="1" applyFill="1" applyBorder="1" applyAlignment="1" applyProtection="1">
      <alignment horizontal="center" vertical="center" wrapText="1"/>
    </xf>
    <xf numFmtId="167" fontId="9" fillId="0" borderId="0" xfId="32" applyNumberFormat="1" applyFont="1" applyFill="1" applyBorder="1" applyAlignment="1" applyProtection="1">
      <alignment horizontal="center" vertical="center" wrapText="1"/>
    </xf>
    <xf numFmtId="1" fontId="9" fillId="0" borderId="0" xfId="32" applyNumberFormat="1" applyFont="1" applyFill="1" applyBorder="1" applyAlignment="1" applyProtection="1">
      <alignment horizontal="center" vertical="center" wrapText="1"/>
    </xf>
    <xf numFmtId="166" fontId="9" fillId="0" borderId="0" xfId="32" applyNumberFormat="1" applyFont="1" applyFill="1" applyBorder="1" applyAlignment="1" applyProtection="1">
      <alignment horizontal="center" vertical="center" wrapText="1"/>
    </xf>
    <xf numFmtId="166" fontId="9" fillId="0" borderId="0" xfId="20" applyNumberFormat="1" applyFont="1" applyFill="1" applyBorder="1" applyAlignment="1" applyProtection="1">
      <alignment horizontal="center" vertical="center" wrapText="1"/>
    </xf>
    <xf numFmtId="167" fontId="3" fillId="0" borderId="0" xfId="0" applyNumberFormat="1" applyFont="1" applyFill="1" applyBorder="1" applyAlignment="1" applyProtection="1">
      <alignment horizontal="center" vertical="center"/>
    </xf>
    <xf numFmtId="167" fontId="34" fillId="0" borderId="0" xfId="20" applyNumberFormat="1" applyFont="1" applyFill="1" applyBorder="1" applyAlignment="1" applyProtection="1">
      <alignment horizontal="center" vertical="center" wrapText="1"/>
    </xf>
    <xf numFmtId="169" fontId="9" fillId="0" borderId="0" xfId="20" applyNumberFormat="1" applyFont="1" applyFill="1" applyBorder="1" applyAlignment="1" applyProtection="1">
      <alignment horizontal="center" vertical="center" wrapText="1"/>
    </xf>
    <xf numFmtId="0" fontId="3" fillId="0" borderId="175" xfId="0" applyFont="1" applyBorder="1" applyAlignment="1" applyProtection="1">
      <alignment horizontal="center" vertical="center"/>
    </xf>
    <xf numFmtId="0" fontId="3" fillId="0" borderId="176" xfId="0" applyFont="1" applyBorder="1" applyAlignment="1" applyProtection="1">
      <alignment horizontal="center" vertical="center"/>
    </xf>
    <xf numFmtId="0" fontId="3" fillId="0" borderId="177" xfId="0" applyFont="1" applyBorder="1" applyAlignment="1" applyProtection="1">
      <alignment horizontal="center" vertical="center"/>
    </xf>
    <xf numFmtId="0" fontId="3" fillId="0" borderId="102" xfId="0" applyFont="1" applyBorder="1" applyAlignment="1" applyProtection="1">
      <alignment horizontal="center" vertical="center"/>
    </xf>
    <xf numFmtId="0" fontId="9" fillId="0" borderId="72" xfId="20" applyNumberFormat="1" applyFont="1" applyFill="1" applyBorder="1" applyAlignment="1" applyProtection="1">
      <alignment horizontal="center" vertical="center" wrapText="1"/>
    </xf>
    <xf numFmtId="0" fontId="3" fillId="0" borderId="72" xfId="0" applyFont="1" applyBorder="1" applyAlignment="1" applyProtection="1">
      <alignment horizontal="center" vertical="center"/>
    </xf>
    <xf numFmtId="0" fontId="3" fillId="0" borderId="132" xfId="0" applyFont="1" applyBorder="1" applyAlignment="1" applyProtection="1">
      <alignment horizontal="center" vertical="center"/>
    </xf>
    <xf numFmtId="0" fontId="9" fillId="0" borderId="132" xfId="20" applyNumberFormat="1" applyFont="1" applyFill="1" applyBorder="1" applyAlignment="1" applyProtection="1">
      <alignment horizontal="center" vertical="center" wrapText="1"/>
    </xf>
    <xf numFmtId="0" fontId="3" fillId="0" borderId="176" xfId="0" applyFont="1" applyFill="1" applyBorder="1" applyAlignment="1" applyProtection="1">
      <alignment horizontal="center" vertical="center"/>
    </xf>
    <xf numFmtId="0" fontId="3" fillId="0" borderId="177" xfId="0" applyFont="1" applyFill="1" applyBorder="1" applyAlignment="1" applyProtection="1">
      <alignment horizontal="center" vertical="center"/>
    </xf>
    <xf numFmtId="0" fontId="34" fillId="0" borderId="102" xfId="0" applyFont="1" applyFill="1" applyBorder="1" applyAlignment="1" applyProtection="1">
      <alignment horizontal="center" vertical="center"/>
    </xf>
    <xf numFmtId="1" fontId="9" fillId="8" borderId="49" xfId="20" applyNumberFormat="1" applyFont="1" applyFill="1" applyBorder="1" applyAlignment="1" applyProtection="1">
      <alignment horizontal="center" vertical="center" wrapText="1"/>
    </xf>
    <xf numFmtId="0" fontId="3" fillId="0" borderId="72" xfId="0" applyFont="1" applyBorder="1" applyAlignment="1" applyProtection="1">
      <alignment vertical="center"/>
    </xf>
    <xf numFmtId="0" fontId="3" fillId="0" borderId="178" xfId="0" applyFont="1" applyFill="1" applyBorder="1" applyAlignment="1" applyProtection="1">
      <alignment horizontal="center" vertical="center"/>
    </xf>
    <xf numFmtId="0" fontId="3" fillId="0" borderId="179" xfId="0" applyFont="1" applyBorder="1" applyAlignment="1" applyProtection="1">
      <alignment horizontal="center" vertical="center"/>
    </xf>
    <xf numFmtId="0" fontId="3" fillId="0" borderId="42" xfId="0" applyFont="1" applyFill="1" applyBorder="1" applyAlignment="1" applyProtection="1">
      <alignment vertical="center" wrapText="1"/>
    </xf>
    <xf numFmtId="0" fontId="3" fillId="0" borderId="47" xfId="0" applyFont="1" applyFill="1" applyBorder="1" applyAlignment="1" applyProtection="1">
      <alignment horizontal="center" vertical="center"/>
    </xf>
    <xf numFmtId="0" fontId="3" fillId="0" borderId="180" xfId="0" applyFont="1" applyFill="1" applyBorder="1" applyAlignment="1" applyProtection="1">
      <alignment vertical="center" wrapText="1"/>
    </xf>
    <xf numFmtId="0" fontId="3" fillId="0" borderId="181" xfId="0" applyFont="1" applyBorder="1" applyAlignment="1" applyProtection="1">
      <alignment horizontal="center" vertical="center"/>
    </xf>
    <xf numFmtId="0" fontId="3" fillId="0" borderId="180" xfId="0" applyFont="1" applyBorder="1" applyAlignment="1" applyProtection="1">
      <alignment vertical="center" wrapText="1"/>
    </xf>
    <xf numFmtId="0" fontId="3" fillId="0" borderId="182" xfId="0" applyFont="1" applyBorder="1" applyAlignment="1" applyProtection="1">
      <alignment vertical="center" wrapText="1"/>
    </xf>
    <xf numFmtId="0" fontId="3" fillId="0" borderId="129" xfId="0" applyFont="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3" fillId="0" borderId="135" xfId="0" applyNumberFormat="1" applyFont="1" applyBorder="1" applyAlignment="1" applyProtection="1">
      <alignment horizontal="left" wrapText="1"/>
    </xf>
    <xf numFmtId="0" fontId="34" fillId="25" borderId="147" xfId="25" applyNumberFormat="1" applyFont="1" applyFill="1" applyBorder="1" applyAlignment="1" applyProtection="1">
      <alignment horizontal="center" vertical="center"/>
    </xf>
    <xf numFmtId="0" fontId="3" fillId="0" borderId="56" xfId="0" applyNumberFormat="1" applyFont="1" applyBorder="1" applyAlignment="1" applyProtection="1">
      <alignment horizontal="center"/>
    </xf>
    <xf numFmtId="0" fontId="3" fillId="0" borderId="117" xfId="0" applyNumberFormat="1" applyFont="1" applyBorder="1" applyAlignment="1" applyProtection="1">
      <alignment horizontal="center"/>
    </xf>
    <xf numFmtId="0" fontId="3" fillId="0" borderId="67" xfId="0" applyNumberFormat="1" applyFont="1" applyBorder="1" applyAlignment="1" applyProtection="1">
      <alignment wrapText="1"/>
    </xf>
    <xf numFmtId="0" fontId="3" fillId="0" borderId="116" xfId="25" applyNumberFormat="1" applyFont="1" applyBorder="1" applyAlignment="1" applyProtection="1">
      <alignment vertical="center" wrapText="1"/>
    </xf>
    <xf numFmtId="0" fontId="3" fillId="0" borderId="113" xfId="0" applyNumberFormat="1" applyFont="1" applyBorder="1" applyAlignment="1" applyProtection="1">
      <alignment wrapText="1"/>
    </xf>
    <xf numFmtId="0" fontId="3" fillId="0" borderId="73" xfId="0" applyNumberFormat="1" applyFont="1" applyBorder="1" applyAlignment="1" applyProtection="1">
      <alignment wrapText="1"/>
    </xf>
    <xf numFmtId="0" fontId="3" fillId="0" borderId="183" xfId="25" applyNumberFormat="1" applyFont="1" applyBorder="1" applyAlignment="1" applyProtection="1">
      <alignment vertical="center"/>
    </xf>
    <xf numFmtId="0" fontId="8" fillId="24" borderId="37" xfId="0" applyFont="1" applyFill="1" applyBorder="1" applyAlignment="1" applyProtection="1">
      <alignment vertical="center" wrapText="1"/>
    </xf>
    <xf numFmtId="0" fontId="3" fillId="24" borderId="120" xfId="0" applyFont="1" applyFill="1" applyBorder="1" applyAlignment="1" applyProtection="1">
      <alignment horizontal="center" vertical="center"/>
    </xf>
    <xf numFmtId="0" fontId="9" fillId="24" borderId="120" xfId="20" applyNumberFormat="1" applyFont="1" applyFill="1" applyBorder="1" applyAlignment="1" applyProtection="1">
      <alignment horizontal="center" vertical="center" wrapText="1"/>
    </xf>
    <xf numFmtId="0" fontId="3" fillId="24" borderId="38" xfId="0" applyFont="1" applyFill="1" applyBorder="1" applyAlignment="1" applyProtection="1">
      <alignment horizontal="center" vertical="center"/>
    </xf>
    <xf numFmtId="0" fontId="3" fillId="0" borderId="184" xfId="0" applyFont="1" applyBorder="1" applyAlignment="1" applyProtection="1">
      <alignment horizontal="center" vertical="center"/>
    </xf>
    <xf numFmtId="0" fontId="9" fillId="0" borderId="20" xfId="20" applyNumberFormat="1" applyFont="1" applyFill="1" applyBorder="1" applyAlignment="1" applyProtection="1">
      <alignment horizontal="center" vertical="center" wrapText="1"/>
    </xf>
    <xf numFmtId="0" fontId="34" fillId="25" borderId="11" xfId="20" applyNumberFormat="1" applyFont="1" applyFill="1" applyBorder="1" applyAlignment="1" applyProtection="1">
      <alignment horizontal="center" vertical="center" wrapText="1"/>
    </xf>
    <xf numFmtId="0" fontId="34" fillId="0" borderId="20" xfId="20" applyNumberFormat="1" applyFont="1" applyFill="1" applyBorder="1" applyAlignment="1" applyProtection="1">
      <alignment horizontal="center" vertical="center" wrapText="1"/>
    </xf>
    <xf numFmtId="0" fontId="3" fillId="0" borderId="97" xfId="0" applyFont="1" applyBorder="1" applyAlignment="1" applyProtection="1">
      <alignment horizontal="center" vertical="center"/>
    </xf>
    <xf numFmtId="169" fontId="9" fillId="25" borderId="11" xfId="20" applyNumberFormat="1" applyFont="1" applyFill="1" applyBorder="1" applyAlignment="1" applyProtection="1">
      <alignment horizontal="center" vertical="center" wrapText="1"/>
    </xf>
    <xf numFmtId="1" fontId="9" fillId="8" borderId="147" xfId="32" applyNumberFormat="1" applyFont="1" applyFill="1" applyBorder="1" applyAlignment="1" applyProtection="1">
      <alignment horizontal="center" vertical="center" wrapText="1"/>
    </xf>
    <xf numFmtId="166" fontId="9" fillId="8" borderId="147" xfId="32" applyNumberFormat="1" applyFont="1" applyFill="1" applyBorder="1" applyAlignment="1" applyProtection="1">
      <alignment horizontal="center" vertical="center" wrapText="1"/>
    </xf>
    <xf numFmtId="166" fontId="9" fillId="8" borderId="11" xfId="20" applyNumberFormat="1" applyFont="1" applyFill="1" applyBorder="1" applyAlignment="1" applyProtection="1">
      <alignment horizontal="center" vertical="center" wrapText="1"/>
    </xf>
    <xf numFmtId="166" fontId="9" fillId="25" borderId="147" xfId="20" applyNumberFormat="1" applyFont="1" applyFill="1" applyBorder="1" applyAlignment="1" applyProtection="1">
      <alignment horizontal="center" vertical="center" wrapText="1"/>
    </xf>
    <xf numFmtId="166" fontId="9" fillId="8" borderId="147" xfId="20" applyNumberFormat="1" applyFont="1" applyFill="1" applyBorder="1" applyAlignment="1" applyProtection="1">
      <alignment horizontal="center" vertical="center" wrapText="1"/>
    </xf>
    <xf numFmtId="167" fontId="9" fillId="8" borderId="11" xfId="32" applyNumberFormat="1" applyFont="1" applyFill="1" applyBorder="1" applyAlignment="1" applyProtection="1">
      <alignment horizontal="center" vertical="center" wrapText="1"/>
    </xf>
    <xf numFmtId="0" fontId="3" fillId="0" borderId="144" xfId="0" applyFont="1" applyFill="1" applyBorder="1" applyAlignment="1" applyProtection="1">
      <alignment vertical="center" wrapText="1"/>
    </xf>
    <xf numFmtId="0" fontId="3" fillId="0" borderId="145" xfId="0" applyFont="1" applyFill="1" applyBorder="1" applyAlignment="1" applyProtection="1">
      <alignment horizontal="center" vertical="center"/>
    </xf>
    <xf numFmtId="164" fontId="9" fillId="8" borderId="11" xfId="20" applyNumberFormat="1" applyFont="1" applyFill="1" applyBorder="1" applyAlignment="1" applyProtection="1">
      <alignment horizontal="center" vertical="center" wrapText="1"/>
    </xf>
    <xf numFmtId="168" fontId="9" fillId="25" borderId="11" xfId="20" applyNumberFormat="1" applyFont="1" applyFill="1" applyBorder="1" applyAlignment="1" applyProtection="1">
      <alignment horizontal="center" vertical="center" wrapText="1"/>
    </xf>
    <xf numFmtId="164" fontId="9" fillId="25" borderId="11" xfId="20" applyNumberFormat="1" applyFont="1" applyFill="1" applyBorder="1" applyAlignment="1" applyProtection="1">
      <alignment horizontal="center" vertical="center" wrapText="1"/>
    </xf>
    <xf numFmtId="167" fontId="9" fillId="8" borderId="163" xfId="20" applyNumberFormat="1" applyFont="1" applyFill="1" applyBorder="1" applyAlignment="1" applyProtection="1">
      <alignment horizontal="center" vertical="center" wrapText="1"/>
    </xf>
    <xf numFmtId="167" fontId="9" fillId="0" borderId="20" xfId="20" applyNumberFormat="1" applyFont="1" applyFill="1" applyBorder="1" applyAlignment="1" applyProtection="1">
      <alignment horizontal="center" vertical="center" wrapText="1"/>
    </xf>
    <xf numFmtId="0" fontId="3" fillId="0" borderId="20" xfId="0" applyFont="1" applyBorder="1" applyAlignment="1" applyProtection="1">
      <alignment horizontal="center" vertical="center"/>
    </xf>
    <xf numFmtId="0" fontId="57" fillId="0" borderId="145" xfId="0" applyFont="1" applyBorder="1" applyAlignment="1" applyProtection="1">
      <alignment horizontal="center" vertical="center"/>
    </xf>
    <xf numFmtId="167" fontId="9" fillId="8" borderId="11" xfId="20" applyNumberFormat="1" applyFont="1" applyFill="1" applyBorder="1" applyAlignment="1" applyProtection="1">
      <alignment horizontal="center" vertical="center" wrapText="1"/>
    </xf>
    <xf numFmtId="0" fontId="3" fillId="0" borderId="185" xfId="0" applyFont="1" applyBorder="1" applyAlignment="1" applyProtection="1">
      <alignment vertical="center" wrapText="1"/>
    </xf>
    <xf numFmtId="0" fontId="3" fillId="0" borderId="186" xfId="0" applyFont="1" applyBorder="1" applyAlignment="1" applyProtection="1">
      <alignment horizontal="center" vertical="center"/>
    </xf>
    <xf numFmtId="0" fontId="3" fillId="0" borderId="187" xfId="0" applyFont="1" applyBorder="1" applyAlignment="1" applyProtection="1">
      <alignment horizontal="center" vertical="center"/>
    </xf>
    <xf numFmtId="0" fontId="3" fillId="0" borderId="163" xfId="0" applyFont="1" applyBorder="1" applyAlignment="1" applyProtection="1">
      <alignment horizontal="center" vertical="center"/>
    </xf>
    <xf numFmtId="0" fontId="9" fillId="8" borderId="11" xfId="20" applyNumberFormat="1" applyFont="1" applyFill="1" applyBorder="1" applyAlignment="1" applyProtection="1">
      <alignment horizontal="center" vertical="center" wrapText="1"/>
    </xf>
    <xf numFmtId="0" fontId="3" fillId="0" borderId="12" xfId="0" applyFont="1" applyBorder="1" applyAlignment="1" applyProtection="1">
      <alignment horizontal="center" vertical="center"/>
    </xf>
    <xf numFmtId="0" fontId="8" fillId="0" borderId="62" xfId="0" applyFont="1" applyBorder="1" applyAlignment="1" applyProtection="1">
      <alignment horizontal="left" vertical="top" wrapText="1"/>
    </xf>
    <xf numFmtId="0" fontId="3" fillId="0" borderId="188" xfId="0" applyFont="1" applyBorder="1" applyAlignment="1" applyProtection="1">
      <alignment vertical="center" wrapText="1"/>
    </xf>
    <xf numFmtId="0" fontId="3" fillId="0" borderId="189" xfId="0" applyFont="1" applyBorder="1" applyAlignment="1" applyProtection="1">
      <alignment horizontal="center" vertical="center"/>
    </xf>
    <xf numFmtId="0" fontId="3" fillId="0" borderId="190" xfId="0" applyFont="1" applyBorder="1" applyAlignment="1" applyProtection="1">
      <alignment horizontal="center" vertical="center"/>
    </xf>
    <xf numFmtId="0" fontId="61" fillId="25" borderId="138" xfId="0" applyFont="1" applyFill="1" applyBorder="1" applyAlignment="1" applyProtection="1">
      <alignment horizontal="center" vertical="center" wrapText="1"/>
    </xf>
    <xf numFmtId="0" fontId="3" fillId="0" borderId="32" xfId="0" applyFont="1" applyBorder="1" applyAlignment="1" applyProtection="1">
      <alignment horizontal="center" vertical="center"/>
    </xf>
    <xf numFmtId="2" fontId="9" fillId="25" borderId="11" xfId="20" applyNumberFormat="1" applyFont="1" applyFill="1" applyBorder="1" applyAlignment="1" applyProtection="1">
      <alignment horizontal="center" vertical="center" wrapText="1"/>
    </xf>
    <xf numFmtId="0" fontId="34" fillId="25" borderId="11" xfId="0" applyFont="1" applyFill="1" applyBorder="1" applyAlignment="1" applyProtection="1">
      <alignment horizontal="center" vertical="center"/>
    </xf>
    <xf numFmtId="2" fontId="9" fillId="8" borderId="147" xfId="20" applyNumberFormat="1" applyFont="1" applyFill="1" applyBorder="1" applyAlignment="1" applyProtection="1">
      <alignment horizontal="center" vertical="center" wrapText="1"/>
    </xf>
    <xf numFmtId="2" fontId="9" fillId="8" borderId="11" xfId="20" applyNumberFormat="1" applyFont="1" applyFill="1" applyBorder="1" applyAlignment="1" applyProtection="1">
      <alignment horizontal="center" vertical="center" wrapText="1"/>
    </xf>
    <xf numFmtId="0" fontId="34" fillId="23" borderId="11" xfId="0" applyFont="1" applyFill="1" applyBorder="1" applyAlignment="1" applyProtection="1">
      <alignment horizontal="center" vertical="center"/>
    </xf>
    <xf numFmtId="2" fontId="9" fillId="23" borderId="11" xfId="20" applyNumberFormat="1" applyFont="1" applyFill="1" applyBorder="1" applyAlignment="1" applyProtection="1">
      <alignment horizontal="center" vertical="center" wrapText="1"/>
    </xf>
    <xf numFmtId="0" fontId="8" fillId="24" borderId="37" xfId="0" applyFont="1" applyFill="1" applyBorder="1" applyAlignment="1" applyProtection="1">
      <alignment vertical="center"/>
    </xf>
    <xf numFmtId="0" fontId="3" fillId="0" borderId="191" xfId="0" applyFont="1" applyFill="1" applyBorder="1" applyAlignment="1" applyProtection="1">
      <alignment horizontal="center" vertical="center"/>
    </xf>
    <xf numFmtId="167" fontId="9" fillId="8" borderId="147" xfId="20" applyNumberFormat="1" applyFont="1" applyFill="1" applyBorder="1" applyAlignment="1" applyProtection="1">
      <alignment horizontal="center" vertical="center" wrapText="1"/>
    </xf>
    <xf numFmtId="0" fontId="3" fillId="0" borderId="146" xfId="0" applyFont="1" applyFill="1" applyBorder="1" applyAlignment="1" applyProtection="1">
      <alignment horizontal="center" vertical="center"/>
    </xf>
    <xf numFmtId="167" fontId="3" fillId="0" borderId="184" xfId="0" applyNumberFormat="1" applyFont="1" applyBorder="1" applyAlignment="1" applyProtection="1">
      <alignment horizontal="center" vertical="center"/>
    </xf>
    <xf numFmtId="167" fontId="34" fillId="25" borderId="147" xfId="20" applyNumberFormat="1" applyFont="1" applyFill="1" applyBorder="1" applyAlignment="1" applyProtection="1">
      <alignment horizontal="center" vertical="center" wrapText="1"/>
    </xf>
    <xf numFmtId="0" fontId="8" fillId="24" borderId="37" xfId="0" applyFont="1" applyFill="1" applyBorder="1" applyAlignment="1" applyProtection="1">
      <alignment vertical="top" wrapText="1"/>
    </xf>
    <xf numFmtId="0" fontId="8" fillId="24" borderId="120" xfId="0" applyFont="1" applyFill="1" applyBorder="1" applyAlignment="1" applyProtection="1">
      <alignment vertical="top" wrapText="1"/>
    </xf>
    <xf numFmtId="0" fontId="8" fillId="24" borderId="38" xfId="0" applyFont="1" applyFill="1" applyBorder="1" applyAlignment="1" applyProtection="1">
      <alignment vertical="top" wrapText="1"/>
    </xf>
    <xf numFmtId="0" fontId="3" fillId="0" borderId="184" xfId="0" applyFont="1" applyBorder="1" applyAlignment="1" applyProtection="1">
      <alignment vertical="center"/>
    </xf>
    <xf numFmtId="0" fontId="8" fillId="24" borderId="37" xfId="0" applyFont="1" applyFill="1" applyBorder="1" applyAlignment="1" applyProtection="1">
      <alignment vertical="top"/>
    </xf>
    <xf numFmtId="0" fontId="3" fillId="0" borderId="192" xfId="0" applyFont="1" applyBorder="1" applyAlignment="1" applyProtection="1">
      <alignment vertical="center" wrapText="1"/>
    </xf>
    <xf numFmtId="0" fontId="3" fillId="0" borderId="193" xfId="0" applyFont="1" applyBorder="1" applyAlignment="1" applyProtection="1">
      <alignment horizontal="center" vertical="center"/>
    </xf>
    <xf numFmtId="1" fontId="34" fillId="25" borderId="147" xfId="0" applyNumberFormat="1" applyFont="1" applyFill="1" applyBorder="1" applyAlignment="1" applyProtection="1">
      <alignment horizontal="center" vertical="center"/>
    </xf>
    <xf numFmtId="0" fontId="3" fillId="0" borderId="194" xfId="0" applyFont="1" applyBorder="1" applyAlignment="1" applyProtection="1">
      <alignment horizontal="center" vertical="center"/>
    </xf>
    <xf numFmtId="2" fontId="34" fillId="25" borderId="147" xfId="0" applyNumberFormat="1" applyFont="1" applyFill="1" applyBorder="1" applyAlignment="1" applyProtection="1">
      <alignment horizontal="center" vertical="center"/>
    </xf>
    <xf numFmtId="0" fontId="3" fillId="0" borderId="20" xfId="0" applyFont="1" applyFill="1" applyBorder="1" applyAlignment="1" applyProtection="1">
      <alignment horizontal="left" vertical="center"/>
    </xf>
    <xf numFmtId="0" fontId="34" fillId="25" borderId="147" xfId="0" applyFont="1" applyFill="1" applyBorder="1" applyAlignment="1" applyProtection="1">
      <alignment horizontal="center" vertical="center"/>
    </xf>
    <xf numFmtId="2" fontId="6" fillId="0" borderId="20" xfId="0" applyNumberFormat="1" applyFont="1" applyFill="1" applyBorder="1" applyAlignment="1" applyProtection="1">
      <alignment horizontal="center" vertical="center"/>
    </xf>
    <xf numFmtId="1" fontId="34" fillId="0" borderId="20" xfId="0" applyNumberFormat="1" applyFont="1" applyFill="1" applyBorder="1" applyAlignment="1" applyProtection="1">
      <alignment horizontal="center" vertical="center"/>
    </xf>
    <xf numFmtId="2" fontId="34" fillId="25" borderId="11" xfId="0" applyNumberFormat="1" applyFont="1" applyFill="1" applyBorder="1" applyAlignment="1" applyProtection="1">
      <alignment horizontal="center" vertical="center"/>
    </xf>
    <xf numFmtId="2" fontId="34" fillId="0" borderId="20" xfId="0" applyNumberFormat="1" applyFont="1" applyFill="1" applyBorder="1" applyAlignment="1" applyProtection="1">
      <alignment horizontal="center" vertical="center"/>
    </xf>
    <xf numFmtId="2" fontId="34" fillId="0" borderId="184" xfId="0" applyNumberFormat="1" applyFont="1" applyFill="1" applyBorder="1" applyAlignment="1" applyProtection="1">
      <alignment horizontal="center" vertical="center"/>
    </xf>
    <xf numFmtId="0" fontId="4" fillId="0" borderId="184" xfId="0" applyFont="1" applyBorder="1" applyAlignment="1" applyProtection="1">
      <alignment horizontal="center" vertical="center"/>
    </xf>
    <xf numFmtId="167" fontId="9" fillId="25" borderId="1" xfId="32" applyNumberFormat="1" applyFont="1" applyFill="1" applyBorder="1" applyAlignment="1" applyProtection="1">
      <alignment horizontal="center" vertical="center" wrapText="1"/>
    </xf>
    <xf numFmtId="0" fontId="4" fillId="0" borderId="128" xfId="0" applyFont="1" applyBorder="1" applyAlignment="1" applyProtection="1">
      <alignment horizontal="center" vertical="center"/>
    </xf>
    <xf numFmtId="0" fontId="3" fillId="0" borderId="0" xfId="0" applyFont="1" applyFill="1" applyBorder="1" applyAlignment="1" applyProtection="1">
      <alignment horizontal="center"/>
    </xf>
    <xf numFmtId="0" fontId="3" fillId="0" borderId="0" xfId="0" applyFont="1" applyFill="1" applyBorder="1" applyProtection="1"/>
    <xf numFmtId="0" fontId="8" fillId="0" borderId="1" xfId="0" applyNumberFormat="1" applyFont="1" applyBorder="1" applyAlignment="1" applyProtection="1">
      <alignment horizontal="center" vertical="center"/>
    </xf>
    <xf numFmtId="0" fontId="3" fillId="0" borderId="195" xfId="0" applyFont="1" applyBorder="1" applyAlignment="1" applyProtection="1">
      <alignment vertical="center" wrapText="1"/>
    </xf>
    <xf numFmtId="0" fontId="3" fillId="0" borderId="196" xfId="0" applyFont="1" applyFill="1" applyBorder="1" applyAlignment="1" applyProtection="1">
      <alignment horizontal="center" vertical="center"/>
    </xf>
    <xf numFmtId="0" fontId="3" fillId="0" borderId="197" xfId="0" applyFont="1" applyFill="1" applyBorder="1" applyAlignment="1" applyProtection="1">
      <alignment horizontal="center" vertical="center"/>
    </xf>
    <xf numFmtId="0" fontId="3" fillId="0" borderId="198" xfId="0" applyFont="1" applyFill="1" applyBorder="1" applyAlignment="1" applyProtection="1">
      <alignment horizontal="center" vertical="center"/>
    </xf>
    <xf numFmtId="0" fontId="3" fillId="0" borderId="179" xfId="0" applyFont="1" applyFill="1" applyBorder="1" applyAlignment="1" applyProtection="1">
      <alignment horizontal="center" vertical="center"/>
    </xf>
    <xf numFmtId="0" fontId="3" fillId="0" borderId="199" xfId="0" applyFont="1" applyBorder="1" applyAlignment="1" applyProtection="1">
      <alignment horizontal="center" vertical="center"/>
    </xf>
    <xf numFmtId="0" fontId="3" fillId="0" borderId="131" xfId="0" applyFont="1" applyBorder="1" applyAlignment="1" applyProtection="1">
      <alignment horizontal="center" vertical="center"/>
    </xf>
    <xf numFmtId="0" fontId="3" fillId="0" borderId="200" xfId="0" applyFont="1" applyFill="1" applyBorder="1" applyAlignment="1" applyProtection="1">
      <alignment horizontal="center" vertical="center"/>
    </xf>
    <xf numFmtId="0" fontId="3" fillId="0" borderId="77" xfId="0" applyFont="1" applyBorder="1" applyAlignment="1" applyProtection="1">
      <alignment horizontal="center" vertical="center"/>
    </xf>
    <xf numFmtId="168" fontId="9" fillId="8" borderId="62" xfId="20" applyNumberFormat="1" applyFont="1" applyFill="1" applyBorder="1" applyAlignment="1" applyProtection="1">
      <alignment horizontal="center" vertical="center" wrapText="1"/>
    </xf>
    <xf numFmtId="2" fontId="6" fillId="23" borderId="6" xfId="0" applyNumberFormat="1" applyFont="1" applyFill="1" applyBorder="1" applyAlignment="1" applyProtection="1">
      <alignment horizontal="center" vertical="center"/>
    </xf>
    <xf numFmtId="1" fontId="34" fillId="25" borderId="62" xfId="0" applyNumberFormat="1" applyFont="1" applyFill="1" applyBorder="1" applyAlignment="1" applyProtection="1">
      <alignment horizontal="center" vertical="center"/>
    </xf>
    <xf numFmtId="0" fontId="3" fillId="0" borderId="0" xfId="0" applyFont="1" applyFill="1" applyBorder="1" applyAlignment="1" applyProtection="1">
      <alignment horizontal="right"/>
    </xf>
    <xf numFmtId="169" fontId="9" fillId="8" borderId="11" xfId="20" applyNumberFormat="1" applyFont="1" applyFill="1" applyBorder="1" applyAlignment="1" applyProtection="1">
      <alignment horizontal="center" vertical="center" wrapText="1"/>
    </xf>
    <xf numFmtId="0" fontId="14" fillId="24" borderId="44" xfId="15" applyNumberFormat="1" applyFont="1" applyFill="1" applyBorder="1" applyAlignment="1" applyProtection="1">
      <alignment horizontal="center" vertical="center"/>
    </xf>
    <xf numFmtId="0" fontId="8" fillId="0" borderId="103" xfId="0" applyNumberFormat="1" applyFont="1" applyBorder="1" applyAlignment="1" applyProtection="1">
      <alignment horizontal="center"/>
    </xf>
    <xf numFmtId="0" fontId="0" fillId="0" borderId="0" xfId="0" applyNumberFormat="1" applyBorder="1" applyAlignment="1" applyProtection="1">
      <alignment horizontal="center"/>
    </xf>
    <xf numFmtId="0" fontId="3" fillId="0" borderId="201" xfId="0" applyNumberFormat="1" applyFont="1" applyBorder="1" applyAlignment="1" applyProtection="1">
      <alignment horizontal="center"/>
    </xf>
    <xf numFmtId="0" fontId="3" fillId="0" borderId="0" xfId="0" applyFont="1" applyBorder="1" applyAlignment="1" applyProtection="1">
      <alignment horizontal="center"/>
    </xf>
    <xf numFmtId="0" fontId="3" fillId="0" borderId="0" xfId="0" applyFont="1" applyBorder="1" applyAlignment="1" applyProtection="1">
      <alignment horizontal="left"/>
    </xf>
    <xf numFmtId="0" fontId="4" fillId="0" borderId="0" xfId="0" applyFont="1" applyBorder="1" applyAlignment="1" applyProtection="1">
      <alignment horizontal="left"/>
    </xf>
    <xf numFmtId="0" fontId="3" fillId="0" borderId="203" xfId="0" applyNumberFormat="1" applyFont="1" applyBorder="1" applyAlignment="1" applyProtection="1">
      <alignment horizontal="center" vertical="center"/>
    </xf>
    <xf numFmtId="0" fontId="3" fillId="0" borderId="204" xfId="0" applyNumberFormat="1" applyFont="1" applyBorder="1" applyAlignment="1" applyProtection="1">
      <alignment horizontal="center" vertical="center"/>
    </xf>
    <xf numFmtId="0" fontId="3" fillId="0" borderId="205" xfId="0" applyNumberFormat="1" applyFont="1" applyBorder="1" applyAlignment="1" applyProtection="1">
      <alignment horizontal="center" vertical="center"/>
    </xf>
    <xf numFmtId="0" fontId="3" fillId="0" borderId="206" xfId="0" applyNumberFormat="1" applyFont="1" applyBorder="1" applyAlignment="1" applyProtection="1">
      <alignment horizontal="center" vertical="center"/>
    </xf>
    <xf numFmtId="0" fontId="34" fillId="29" borderId="62" xfId="0" applyFont="1" applyFill="1" applyBorder="1" applyAlignment="1" applyProtection="1">
      <alignment horizontal="center" vertical="center" wrapText="1"/>
    </xf>
    <xf numFmtId="0" fontId="0" fillId="0" borderId="30" xfId="0" applyNumberFormat="1" applyBorder="1" applyProtection="1"/>
    <xf numFmtId="0" fontId="0" fillId="0" borderId="44" xfId="0" applyNumberFormat="1" applyBorder="1" applyProtection="1"/>
    <xf numFmtId="0" fontId="0" fillId="0" borderId="44" xfId="0" applyNumberFormat="1" applyBorder="1" applyAlignment="1" applyProtection="1">
      <alignment horizontal="center"/>
    </xf>
    <xf numFmtId="0" fontId="3" fillId="0" borderId="31" xfId="0" applyFont="1" applyBorder="1" applyAlignment="1" applyProtection="1">
      <alignment horizontal="center"/>
    </xf>
    <xf numFmtId="0" fontId="3" fillId="0" borderId="202" xfId="0" applyNumberFormat="1" applyFont="1" applyBorder="1" applyAlignment="1" applyProtection="1">
      <alignment horizontal="center"/>
    </xf>
    <xf numFmtId="0" fontId="34" fillId="25" borderId="1" xfId="25" applyNumberFormat="1" applyFont="1" applyFill="1" applyBorder="1" applyAlignment="1" applyProtection="1">
      <alignment horizontal="center" vertical="center"/>
    </xf>
    <xf numFmtId="0" fontId="14" fillId="24" borderId="17" xfId="15" applyNumberFormat="1" applyFont="1" applyFill="1" applyBorder="1" applyAlignment="1" applyProtection="1">
      <alignment horizontal="center" vertical="center"/>
    </xf>
    <xf numFmtId="0" fontId="4" fillId="0" borderId="42" xfId="0" applyNumberFormat="1" applyFont="1" applyBorder="1" applyAlignment="1" applyProtection="1">
      <alignment horizontal="left" vertical="top" wrapText="1"/>
    </xf>
    <xf numFmtId="0" fontId="3" fillId="0" borderId="0" xfId="0" applyNumberFormat="1" applyFont="1" applyBorder="1" applyAlignment="1" applyProtection="1">
      <alignment horizontal="left" vertical="top" wrapText="1"/>
    </xf>
    <xf numFmtId="0" fontId="3" fillId="0" borderId="54" xfId="0" applyFont="1" applyBorder="1" applyAlignment="1" applyProtection="1">
      <alignment horizontal="center"/>
    </xf>
    <xf numFmtId="0" fontId="3" fillId="0" borderId="47" xfId="0" applyFont="1" applyBorder="1" applyAlignment="1" applyProtection="1">
      <alignment horizontal="center"/>
    </xf>
    <xf numFmtId="0" fontId="3" fillId="0" borderId="132" xfId="0" applyFont="1" applyBorder="1" applyAlignment="1" applyProtection="1">
      <alignment horizontal="center"/>
    </xf>
    <xf numFmtId="0" fontId="8" fillId="0" borderId="10" xfId="0" applyFont="1" applyBorder="1" applyAlignment="1" applyProtection="1">
      <alignment horizontal="center" vertical="center" wrapText="1"/>
    </xf>
    <xf numFmtId="0" fontId="34" fillId="25" borderId="62" xfId="25" applyNumberFormat="1" applyFont="1" applyFill="1" applyBorder="1" applyAlignment="1" applyProtection="1">
      <alignment horizontal="center" vertical="center"/>
    </xf>
    <xf numFmtId="0" fontId="3" fillId="0" borderId="208" xfId="0" applyNumberFormat="1" applyFont="1" applyBorder="1" applyAlignment="1" applyProtection="1">
      <alignment horizontal="center" vertical="center"/>
    </xf>
    <xf numFmtId="0" fontId="3" fillId="0" borderId="209" xfId="0" applyNumberFormat="1" applyFont="1" applyBorder="1" applyAlignment="1" applyProtection="1">
      <alignment horizontal="center" vertical="center"/>
    </xf>
    <xf numFmtId="0" fontId="3" fillId="0" borderId="30" xfId="0" applyFont="1" applyBorder="1" applyProtection="1"/>
    <xf numFmtId="0" fontId="3" fillId="0" borderId="44" xfId="0" applyFont="1" applyBorder="1" applyProtection="1"/>
    <xf numFmtId="0" fontId="9" fillId="8" borderId="62" xfId="20" applyNumberFormat="1" applyFont="1" applyFill="1" applyBorder="1" applyAlignment="1" applyProtection="1">
      <alignment horizontal="center" vertical="center"/>
    </xf>
    <xf numFmtId="0" fontId="3" fillId="0" borderId="30" xfId="25" applyNumberFormat="1" applyFont="1" applyFill="1" applyBorder="1" applyAlignment="1" applyProtection="1">
      <alignment vertical="center"/>
    </xf>
    <xf numFmtId="0" fontId="3" fillId="0" borderId="44" xfId="25" applyNumberFormat="1" applyFont="1" applyFill="1" applyBorder="1" applyAlignment="1" applyProtection="1">
      <alignment horizontal="center" vertical="center"/>
      <protection locked="0"/>
    </xf>
    <xf numFmtId="0" fontId="3" fillId="0" borderId="44" xfId="0" applyNumberFormat="1" applyFont="1" applyFill="1" applyBorder="1" applyAlignment="1" applyProtection="1">
      <alignment horizontal="center" vertical="center"/>
    </xf>
    <xf numFmtId="0" fontId="4" fillId="0" borderId="44" xfId="0" applyNumberFormat="1" applyFont="1" applyFill="1" applyBorder="1" applyAlignment="1" applyProtection="1">
      <alignment horizontal="center" vertical="center"/>
    </xf>
    <xf numFmtId="0" fontId="3" fillId="0" borderId="47" xfId="0" applyFont="1" applyBorder="1" applyAlignment="1" applyProtection="1">
      <alignment horizontal="left"/>
    </xf>
    <xf numFmtId="0" fontId="3" fillId="0" borderId="23" xfId="25" applyNumberFormat="1" applyFont="1" applyBorder="1" applyAlignment="1" applyProtection="1">
      <alignment vertical="center"/>
    </xf>
    <xf numFmtId="0" fontId="3" fillId="0" borderId="99" xfId="25" applyNumberFormat="1" applyFont="1" applyBorder="1" applyAlignment="1" applyProtection="1">
      <alignment vertical="center" wrapText="1"/>
    </xf>
    <xf numFmtId="0" fontId="8" fillId="0" borderId="1" xfId="0" applyNumberFormat="1" applyFont="1" applyBorder="1" applyAlignment="1" applyProtection="1">
      <alignment horizontal="center"/>
    </xf>
    <xf numFmtId="0" fontId="4" fillId="0" borderId="0" xfId="0" applyNumberFormat="1" applyFont="1" applyBorder="1" applyAlignment="1" applyProtection="1">
      <alignment horizontal="center" vertical="center"/>
    </xf>
    <xf numFmtId="0" fontId="3" fillId="0" borderId="109" xfId="0" applyFont="1" applyBorder="1" applyAlignment="1" applyProtection="1">
      <alignment horizontal="right" wrapText="1"/>
    </xf>
    <xf numFmtId="0" fontId="3" fillId="0" borderId="44" xfId="0" applyFont="1" applyBorder="1" applyAlignment="1" applyProtection="1">
      <alignment horizontal="center"/>
    </xf>
    <xf numFmtId="0" fontId="8" fillId="0" borderId="65" xfId="0" applyFont="1" applyBorder="1" applyAlignment="1" applyProtection="1">
      <alignment horizontal="center" vertical="center" wrapText="1"/>
    </xf>
    <xf numFmtId="0" fontId="3" fillId="5" borderId="163" xfId="25" applyNumberFormat="1" applyFont="1" applyFill="1" applyBorder="1" applyAlignment="1" applyProtection="1">
      <alignment horizontal="center" vertical="center"/>
      <protection locked="0"/>
    </xf>
    <xf numFmtId="0" fontId="3" fillId="0" borderId="20" xfId="0" applyFont="1" applyBorder="1" applyProtection="1"/>
    <xf numFmtId="0" fontId="3" fillId="23" borderId="62" xfId="25" applyNumberFormat="1" applyFont="1" applyFill="1" applyBorder="1" applyAlignment="1" applyProtection="1">
      <alignment horizontal="center" vertical="center"/>
      <protection locked="0"/>
    </xf>
    <xf numFmtId="0" fontId="3" fillId="0" borderId="64" xfId="0" applyNumberFormat="1" applyFont="1" applyBorder="1" applyAlignment="1" applyProtection="1">
      <alignment horizontal="center" vertical="center"/>
    </xf>
    <xf numFmtId="0" fontId="3" fillId="0" borderId="210" xfId="0" applyNumberFormat="1" applyFont="1" applyBorder="1" applyAlignment="1" applyProtection="1">
      <alignment horizontal="center" vertical="center"/>
    </xf>
    <xf numFmtId="0" fontId="4" fillId="0" borderId="62" xfId="0" applyNumberFormat="1" applyFont="1" applyBorder="1" applyAlignment="1" applyProtection="1">
      <alignment horizontal="center" vertical="center"/>
    </xf>
    <xf numFmtId="0" fontId="3" fillId="24" borderId="44" xfId="0" applyFont="1" applyFill="1" applyBorder="1" applyProtection="1"/>
    <xf numFmtId="0" fontId="3" fillId="24" borderId="31" xfId="0" applyFont="1" applyFill="1" applyBorder="1" applyProtection="1"/>
    <xf numFmtId="0" fontId="8" fillId="0" borderId="0" xfId="0" applyFont="1" applyBorder="1" applyAlignment="1" applyProtection="1">
      <alignment horizontal="center"/>
    </xf>
    <xf numFmtId="0" fontId="8" fillId="0" borderId="1" xfId="0" applyFont="1" applyBorder="1" applyAlignment="1" applyProtection="1">
      <alignment horizontal="center"/>
    </xf>
    <xf numFmtId="0" fontId="9" fillId="8" borderId="65" xfId="20" applyNumberFormat="1" applyFont="1" applyFill="1" applyBorder="1" applyAlignment="1" applyProtection="1">
      <alignment horizontal="center" vertical="center"/>
    </xf>
    <xf numFmtId="0" fontId="3" fillId="0" borderId="130" xfId="0" applyNumberFormat="1" applyFont="1" applyBorder="1" applyAlignment="1" applyProtection="1">
      <alignment horizontal="center"/>
    </xf>
    <xf numFmtId="0" fontId="3" fillId="0" borderId="66" xfId="0" applyFont="1" applyBorder="1" applyAlignment="1" applyProtection="1">
      <alignment horizontal="center"/>
    </xf>
    <xf numFmtId="0" fontId="3" fillId="0" borderId="49" xfId="0" applyFont="1" applyBorder="1" applyAlignment="1" applyProtection="1">
      <alignment horizontal="center"/>
    </xf>
    <xf numFmtId="0" fontId="34" fillId="0" borderId="0" xfId="0" applyFont="1" applyFill="1" applyBorder="1" applyAlignment="1" applyProtection="1">
      <alignment horizontal="center" vertical="center" wrapText="1"/>
    </xf>
    <xf numFmtId="0" fontId="3" fillId="0" borderId="108" xfId="0" applyFont="1" applyBorder="1" applyAlignment="1" applyProtection="1">
      <alignment horizontal="right" wrapText="1"/>
    </xf>
    <xf numFmtId="0" fontId="8" fillId="0" borderId="102" xfId="0" applyFont="1" applyBorder="1" applyAlignment="1" applyProtection="1">
      <alignment vertical="top" wrapText="1"/>
    </xf>
    <xf numFmtId="0" fontId="4" fillId="0" borderId="72" xfId="0" applyFont="1" applyBorder="1" applyAlignment="1" applyProtection="1">
      <alignment vertical="top" wrapText="1"/>
    </xf>
    <xf numFmtId="0" fontId="34" fillId="25" borderId="1" xfId="0" applyFont="1" applyFill="1" applyBorder="1" applyAlignment="1" applyProtection="1">
      <alignment horizontal="center" vertical="center" wrapText="1"/>
    </xf>
    <xf numFmtId="0" fontId="34" fillId="25" borderId="1" xfId="0" applyFont="1" applyFill="1" applyBorder="1" applyAlignment="1" applyProtection="1">
      <alignment horizontal="center"/>
    </xf>
    <xf numFmtId="0" fontId="34" fillId="0" borderId="1" xfId="0" applyFont="1" applyFill="1" applyBorder="1" applyAlignment="1" applyProtection="1">
      <alignment horizontal="center" vertical="center" wrapText="1"/>
    </xf>
    <xf numFmtId="0" fontId="34" fillId="0" borderId="1" xfId="0" applyFont="1" applyFill="1" applyBorder="1" applyAlignment="1" applyProtection="1">
      <alignment horizontal="center"/>
    </xf>
    <xf numFmtId="0" fontId="4" fillId="0" borderId="0" xfId="0" applyFont="1" applyBorder="1" applyAlignment="1" applyProtection="1">
      <alignment horizontal="center" wrapText="1"/>
    </xf>
    <xf numFmtId="0" fontId="14" fillId="24" borderId="30" xfId="15" applyNumberFormat="1" applyFont="1" applyFill="1" applyBorder="1" applyAlignment="1" applyProtection="1">
      <alignment vertical="top" wrapText="1"/>
    </xf>
    <xf numFmtId="0" fontId="14" fillId="24" borderId="44" xfId="15" applyNumberFormat="1" applyFont="1" applyFill="1" applyBorder="1" applyAlignment="1" applyProtection="1">
      <alignment vertical="top" wrapText="1"/>
    </xf>
    <xf numFmtId="0" fontId="3" fillId="0" borderId="211" xfId="0" applyNumberFormat="1" applyFont="1" applyBorder="1" applyAlignment="1" applyProtection="1">
      <alignment horizontal="center" vertical="center"/>
    </xf>
    <xf numFmtId="0" fontId="0" fillId="0" borderId="47" xfId="0" applyBorder="1" applyProtection="1"/>
    <xf numFmtId="0" fontId="4" fillId="0" borderId="47" xfId="0" applyFont="1" applyBorder="1" applyAlignment="1" applyProtection="1">
      <alignment horizontal="center" wrapText="1"/>
    </xf>
    <xf numFmtId="0" fontId="3" fillId="0" borderId="212" xfId="0" applyNumberFormat="1" applyFont="1" applyBorder="1" applyAlignment="1" applyProtection="1">
      <alignment horizontal="center" vertical="center"/>
    </xf>
    <xf numFmtId="0" fontId="4" fillId="0" borderId="20" xfId="0" applyFont="1" applyBorder="1" applyAlignment="1" applyProtection="1">
      <alignment horizontal="left" wrapText="1"/>
    </xf>
    <xf numFmtId="0" fontId="4" fillId="0" borderId="20" xfId="0" applyFont="1" applyBorder="1" applyAlignment="1" applyProtection="1">
      <alignment horizontal="center" wrapText="1"/>
    </xf>
    <xf numFmtId="0" fontId="4" fillId="0" borderId="54" xfId="0" applyFont="1" applyBorder="1" applyAlignment="1" applyProtection="1">
      <alignment horizontal="center" wrapText="1"/>
    </xf>
    <xf numFmtId="0" fontId="8" fillId="0" borderId="3" xfId="0" applyNumberFormat="1" applyFont="1" applyBorder="1" applyAlignment="1" applyProtection="1">
      <alignment horizontal="center" wrapText="1"/>
    </xf>
    <xf numFmtId="0" fontId="8" fillId="0" borderId="3" xfId="0" applyFont="1" applyBorder="1" applyAlignment="1" applyProtection="1">
      <alignment vertical="top" wrapText="1"/>
    </xf>
    <xf numFmtId="0" fontId="3" fillId="0" borderId="42" xfId="0" applyFont="1" applyFill="1" applyBorder="1" applyAlignment="1" applyProtection="1">
      <alignment horizontal="right" wrapText="1"/>
    </xf>
    <xf numFmtId="0" fontId="0" fillId="0" borderId="99" xfId="0" applyNumberFormat="1" applyBorder="1" applyProtection="1"/>
    <xf numFmtId="0" fontId="3" fillId="0" borderId="77" xfId="0" applyNumberFormat="1" applyFont="1" applyBorder="1" applyAlignment="1" applyProtection="1">
      <alignment horizontal="center"/>
    </xf>
    <xf numFmtId="2" fontId="9" fillId="8" borderId="1" xfId="20" applyNumberFormat="1" applyFont="1" applyFill="1" applyBorder="1" applyAlignment="1" applyProtection="1">
      <alignment horizontal="center" vertical="center"/>
    </xf>
    <xf numFmtId="164" fontId="9" fillId="8" borderId="1" xfId="20" applyNumberFormat="1" applyFont="1" applyFill="1" applyBorder="1" applyAlignment="1" applyProtection="1">
      <alignment horizontal="center" vertical="center"/>
    </xf>
    <xf numFmtId="164" fontId="34" fillId="25" borderId="65" xfId="25" applyNumberFormat="1" applyFont="1" applyFill="1" applyBorder="1" applyAlignment="1" applyProtection="1">
      <alignment horizontal="center" vertical="center"/>
    </xf>
    <xf numFmtId="0" fontId="0" fillId="0" borderId="20" xfId="0" applyBorder="1" applyProtection="1"/>
    <xf numFmtId="0" fontId="0" fillId="0" borderId="54" xfId="0" applyBorder="1" applyProtection="1"/>
    <xf numFmtId="0" fontId="3" fillId="0" borderId="214" xfId="0" applyNumberFormat="1" applyFont="1" applyBorder="1" applyAlignment="1" applyProtection="1">
      <alignment horizontal="center" vertical="center"/>
    </xf>
    <xf numFmtId="0" fontId="3" fillId="0" borderId="215" xfId="0" applyNumberFormat="1" applyFont="1" applyBorder="1" applyAlignment="1" applyProtection="1">
      <alignment horizontal="center"/>
    </xf>
    <xf numFmtId="0" fontId="47" fillId="0" borderId="0" xfId="0" applyFont="1" applyBorder="1" applyProtection="1"/>
    <xf numFmtId="0" fontId="59" fillId="0" borderId="49" xfId="15" applyNumberFormat="1" applyFont="1" applyFill="1" applyBorder="1" applyAlignment="1" applyProtection="1">
      <alignment horizontal="left" vertical="top" wrapText="1"/>
    </xf>
    <xf numFmtId="0" fontId="14" fillId="24" borderId="31" xfId="15" applyNumberFormat="1" applyFont="1" applyFill="1" applyBorder="1" applyAlignment="1" applyProtection="1">
      <alignment vertical="top" wrapText="1"/>
    </xf>
    <xf numFmtId="0" fontId="3" fillId="0" borderId="216" xfId="0" applyNumberFormat="1" applyFont="1" applyBorder="1" applyAlignment="1" applyProtection="1">
      <alignment horizontal="center" vertical="center"/>
    </xf>
    <xf numFmtId="0" fontId="14" fillId="0" borderId="0" xfId="15" applyNumberFormat="1" applyFont="1" applyFill="1" applyBorder="1" applyAlignment="1" applyProtection="1">
      <alignment horizontal="center" vertical="center"/>
    </xf>
    <xf numFmtId="0" fontId="3" fillId="0" borderId="103" xfId="0" applyNumberFormat="1" applyFont="1" applyBorder="1" applyAlignment="1" applyProtection="1">
      <alignment horizontal="center"/>
    </xf>
    <xf numFmtId="0" fontId="3" fillId="0" borderId="66" xfId="0" applyFont="1" applyBorder="1" applyAlignment="1" applyProtection="1">
      <alignment horizontal="left"/>
    </xf>
    <xf numFmtId="0" fontId="0" fillId="0" borderId="3" xfId="0" applyNumberFormat="1" applyBorder="1" applyProtection="1"/>
    <xf numFmtId="0" fontId="3" fillId="0" borderId="20" xfId="0" applyFont="1" applyBorder="1" applyAlignment="1" applyProtection="1">
      <alignment horizontal="left"/>
    </xf>
    <xf numFmtId="0" fontId="3" fillId="0" borderId="20" xfId="0" applyFont="1" applyBorder="1" applyAlignment="1" applyProtection="1">
      <alignment horizontal="center"/>
    </xf>
    <xf numFmtId="0" fontId="3" fillId="0" borderId="184" xfId="0" applyNumberFormat="1" applyFont="1" applyBorder="1" applyAlignment="1" applyProtection="1">
      <alignment horizontal="center"/>
    </xf>
    <xf numFmtId="0" fontId="3" fillId="0" borderId="0" xfId="0" applyNumberFormat="1" applyFont="1" applyFill="1" applyBorder="1" applyAlignment="1" applyProtection="1">
      <alignment horizontal="center"/>
    </xf>
    <xf numFmtId="0" fontId="14" fillId="24" borderId="30" xfId="15" applyNumberFormat="1" applyFont="1" applyFill="1" applyBorder="1" applyAlignment="1" applyProtection="1">
      <alignment vertical="top"/>
    </xf>
    <xf numFmtId="0" fontId="3" fillId="0" borderId="20" xfId="0" applyFont="1" applyFill="1" applyBorder="1" applyProtection="1"/>
    <xf numFmtId="0" fontId="15" fillId="0" borderId="212" xfId="0" applyNumberFormat="1" applyFont="1" applyBorder="1" applyAlignment="1" applyProtection="1">
      <alignment horizontal="center" vertical="center"/>
    </xf>
    <xf numFmtId="0" fontId="3" fillId="0" borderId="20" xfId="0" applyFont="1" applyFill="1" applyBorder="1" applyAlignment="1" applyProtection="1">
      <alignment horizontal="center"/>
    </xf>
    <xf numFmtId="0" fontId="14" fillId="0" borderId="30" xfId="15" applyNumberFormat="1" applyFont="1" applyFill="1" applyBorder="1" applyAlignment="1" applyProtection="1">
      <alignment horizontal="left" vertical="top" wrapText="1"/>
    </xf>
    <xf numFmtId="0" fontId="14" fillId="0" borderId="44" xfId="15" applyNumberFormat="1" applyFont="1" applyFill="1" applyBorder="1" applyAlignment="1" applyProtection="1">
      <alignment horizontal="left" vertical="top" wrapText="1"/>
    </xf>
    <xf numFmtId="0" fontId="8" fillId="0" borderId="1" xfId="0" applyNumberFormat="1" applyFont="1" applyBorder="1" applyAlignment="1" applyProtection="1">
      <alignment horizontal="center" vertical="center" wrapText="1"/>
    </xf>
    <xf numFmtId="0" fontId="3" fillId="0" borderId="217" xfId="0" applyNumberFormat="1" applyFont="1" applyBorder="1" applyAlignment="1" applyProtection="1">
      <alignment horizontal="center" vertical="center"/>
    </xf>
    <xf numFmtId="0" fontId="3" fillId="0" borderId="100" xfId="0" applyFont="1" applyBorder="1" applyProtection="1"/>
    <xf numFmtId="0" fontId="3" fillId="0" borderId="97" xfId="0" applyFont="1" applyBorder="1" applyProtection="1"/>
    <xf numFmtId="0" fontId="3" fillId="0" borderId="219" xfId="0" applyNumberFormat="1" applyFont="1" applyBorder="1" applyAlignment="1" applyProtection="1">
      <alignment horizontal="center" vertical="center"/>
    </xf>
    <xf numFmtId="0" fontId="3" fillId="0" borderId="220" xfId="0" applyNumberFormat="1" applyFont="1" applyBorder="1" applyAlignment="1" applyProtection="1">
      <alignment horizontal="center" vertical="center"/>
    </xf>
    <xf numFmtId="0" fontId="3" fillId="0" borderId="73" xfId="0" applyNumberFormat="1" applyFont="1" applyBorder="1" applyAlignment="1" applyProtection="1">
      <alignment vertical="center" wrapText="1"/>
    </xf>
    <xf numFmtId="0" fontId="13" fillId="0" borderId="0" xfId="15" applyNumberFormat="1" applyFont="1" applyFill="1" applyBorder="1" applyAlignment="1" applyProtection="1">
      <alignment vertical="center"/>
    </xf>
    <xf numFmtId="0" fontId="13" fillId="0" borderId="42" xfId="15" applyNumberFormat="1" applyFont="1" applyFill="1" applyBorder="1" applyAlignment="1" applyProtection="1">
      <alignment vertical="center"/>
    </xf>
    <xf numFmtId="0" fontId="13" fillId="0" borderId="47" xfId="15" applyNumberFormat="1" applyFont="1" applyFill="1" applyBorder="1" applyAlignment="1" applyProtection="1">
      <alignment vertical="center"/>
    </xf>
    <xf numFmtId="0" fontId="8" fillId="0" borderId="10" xfId="0" applyNumberFormat="1" applyFont="1" applyBorder="1" applyAlignment="1" applyProtection="1">
      <alignment horizontal="center"/>
    </xf>
    <xf numFmtId="0" fontId="9" fillId="8" borderId="6" xfId="20" applyNumberFormat="1" applyFont="1" applyFill="1" applyBorder="1" applyProtection="1">
      <alignment horizontal="center" vertical="center"/>
    </xf>
    <xf numFmtId="0" fontId="46" fillId="0" borderId="0" xfId="0" applyNumberFormat="1" applyFont="1" applyBorder="1" applyAlignment="1" applyProtection="1">
      <alignment horizontal="center" vertical="center"/>
    </xf>
    <xf numFmtId="0" fontId="46" fillId="0" borderId="0" xfId="0" applyNumberFormat="1" applyFont="1" applyBorder="1" applyAlignment="1" applyProtection="1">
      <alignment horizontal="center" vertical="center" wrapText="1"/>
    </xf>
    <xf numFmtId="0" fontId="0" fillId="0" borderId="0" xfId="0" applyFill="1" applyBorder="1" applyAlignment="1">
      <alignment vertical="center"/>
    </xf>
    <xf numFmtId="0" fontId="9" fillId="0" borderId="0" xfId="25" applyNumberFormat="1" applyFont="1" applyFill="1" applyBorder="1" applyAlignment="1" applyProtection="1">
      <alignment horizontal="center" vertical="center"/>
    </xf>
    <xf numFmtId="0" fontId="8" fillId="0" borderId="1" xfId="25" applyNumberFormat="1" applyFont="1" applyFill="1" applyBorder="1" applyAlignment="1" applyProtection="1">
      <alignment horizontal="center" vertical="center" wrapText="1"/>
    </xf>
    <xf numFmtId="0" fontId="9" fillId="29" borderId="7" xfId="25" applyNumberFormat="1" applyFont="1" applyFill="1" applyBorder="1" applyAlignment="1" applyProtection="1">
      <alignment horizontal="center" vertical="center"/>
    </xf>
    <xf numFmtId="0" fontId="4" fillId="0" borderId="67" xfId="25" applyNumberFormat="1" applyFont="1" applyFill="1" applyBorder="1" applyAlignment="1" applyProtection="1">
      <alignment horizontal="left" vertical="center" wrapText="1"/>
    </xf>
    <xf numFmtId="0" fontId="3" fillId="0" borderId="20" xfId="25" applyNumberFormat="1" applyFont="1" applyBorder="1" applyAlignment="1" applyProtection="1">
      <alignment vertical="center"/>
    </xf>
    <xf numFmtId="0" fontId="9" fillId="8" borderId="11" xfId="20" applyNumberFormat="1" applyFont="1" applyFill="1" applyBorder="1" applyProtection="1">
      <alignment horizontal="center" vertical="center"/>
    </xf>
    <xf numFmtId="0" fontId="9" fillId="8" borderId="147" xfId="20" applyNumberFormat="1" applyFont="1" applyFill="1" applyBorder="1" applyProtection="1">
      <alignment horizontal="center" vertical="center"/>
    </xf>
    <xf numFmtId="0" fontId="0" fillId="0" borderId="47" xfId="0" applyBorder="1"/>
    <xf numFmtId="0" fontId="0" fillId="0" borderId="20" xfId="0" applyBorder="1"/>
    <xf numFmtId="0" fontId="0" fillId="0" borderId="54" xfId="0" applyBorder="1"/>
    <xf numFmtId="167" fontId="9" fillId="8" borderId="11" xfId="25" applyNumberFormat="1" applyFont="1" applyFill="1" applyBorder="1" applyAlignment="1" applyProtection="1">
      <alignment horizontal="center" vertical="center"/>
    </xf>
    <xf numFmtId="167" fontId="9" fillId="8" borderId="1" xfId="25" applyNumberFormat="1" applyFont="1" applyFill="1" applyBorder="1" applyAlignment="1" applyProtection="1">
      <alignment horizontal="center" vertical="center"/>
    </xf>
    <xf numFmtId="0" fontId="8" fillId="0" borderId="1" xfId="0" applyNumberFormat="1" applyFont="1" applyBorder="1" applyAlignment="1" applyProtection="1">
      <alignment horizontal="center" vertical="center"/>
    </xf>
    <xf numFmtId="0" fontId="8" fillId="0" borderId="1" xfId="0" applyNumberFormat="1" applyFont="1" applyBorder="1" applyAlignment="1" applyProtection="1">
      <alignment horizontal="center"/>
    </xf>
    <xf numFmtId="0" fontId="3" fillId="5" borderId="14" xfId="25" applyNumberFormat="1" applyFont="1" applyFill="1" applyBorder="1" applyAlignment="1" applyProtection="1">
      <alignment horizontal="center" vertical="center"/>
      <protection locked="0"/>
    </xf>
    <xf numFmtId="0" fontId="8" fillId="0" borderId="3" xfId="0" applyNumberFormat="1" applyFont="1" applyBorder="1" applyAlignment="1" applyProtection="1">
      <alignment horizontal="center" wrapText="1"/>
    </xf>
    <xf numFmtId="0" fontId="3" fillId="0" borderId="11" xfId="0" applyNumberFormat="1" applyFont="1" applyBorder="1" applyAlignment="1" applyProtection="1">
      <alignment horizontal="center" vertical="center"/>
    </xf>
    <xf numFmtId="0" fontId="3" fillId="0" borderId="98" xfId="0" applyNumberFormat="1" applyFont="1" applyBorder="1" applyAlignment="1" applyProtection="1">
      <alignment horizontal="center" vertical="center"/>
    </xf>
    <xf numFmtId="0" fontId="8" fillId="0" borderId="130" xfId="0" applyNumberFormat="1" applyFont="1" applyBorder="1" applyAlignment="1" applyProtection="1">
      <alignment horizontal="center"/>
    </xf>
    <xf numFmtId="0" fontId="8" fillId="0" borderId="22" xfId="0" applyFont="1" applyBorder="1" applyProtection="1"/>
    <xf numFmtId="0" fontId="8" fillId="0" borderId="3" xfId="0" applyNumberFormat="1" applyFont="1" applyBorder="1" applyAlignment="1" applyProtection="1">
      <alignment horizontal="center" wrapText="1"/>
    </xf>
    <xf numFmtId="0" fontId="8" fillId="0" borderId="1" xfId="0" applyNumberFormat="1" applyFont="1" applyBorder="1" applyAlignment="1" applyProtection="1">
      <alignment horizontal="center"/>
    </xf>
    <xf numFmtId="0" fontId="30" fillId="0" borderId="88" xfId="28" applyNumberFormat="1" applyFont="1" applyBorder="1" applyAlignment="1">
      <alignment horizontal="left" vertical="center"/>
    </xf>
    <xf numFmtId="0" fontId="4" fillId="0" borderId="0" xfId="0" applyNumberFormat="1" applyFont="1" applyFill="1" applyBorder="1" applyAlignment="1" applyProtection="1">
      <alignment horizontal="center" vertical="center"/>
    </xf>
    <xf numFmtId="0" fontId="0" fillId="0" borderId="135" xfId="0" applyNumberFormat="1" applyBorder="1" applyProtection="1"/>
    <xf numFmtId="0" fontId="3" fillId="0" borderId="72" xfId="0" applyFont="1" applyBorder="1" applyAlignment="1" applyProtection="1">
      <alignment horizontal="center"/>
    </xf>
    <xf numFmtId="0" fontId="3" fillId="0" borderId="227" xfId="0" applyFont="1" applyBorder="1" applyAlignment="1" applyProtection="1">
      <alignment horizontal="right" wrapText="1"/>
    </xf>
    <xf numFmtId="0" fontId="3" fillId="0" borderId="123" xfId="0" applyFont="1" applyBorder="1" applyAlignment="1" applyProtection="1">
      <alignment horizontal="right" wrapText="1"/>
    </xf>
    <xf numFmtId="0" fontId="3" fillId="0" borderId="73" xfId="0" applyFont="1" applyBorder="1" applyAlignment="1" applyProtection="1">
      <alignment horizontal="right" wrapText="1"/>
    </xf>
    <xf numFmtId="0" fontId="34" fillId="0" borderId="0" xfId="0" applyFont="1" applyFill="1" applyBorder="1" applyAlignment="1" applyProtection="1">
      <alignment horizontal="center"/>
    </xf>
    <xf numFmtId="0" fontId="3" fillId="0" borderId="1" xfId="0" applyFont="1" applyFill="1" applyBorder="1" applyAlignment="1" applyProtection="1">
      <alignment horizontal="center" vertical="center"/>
    </xf>
    <xf numFmtId="0" fontId="4" fillId="0" borderId="204" xfId="0" applyNumberFormat="1" applyFont="1" applyBorder="1" applyAlignment="1" applyProtection="1">
      <alignment horizontal="center" vertical="center"/>
    </xf>
    <xf numFmtId="0" fontId="0" fillId="0" borderId="71" xfId="0" applyNumberFormat="1" applyBorder="1" applyProtection="1"/>
    <xf numFmtId="0" fontId="3" fillId="0" borderId="45" xfId="0" applyFont="1" applyBorder="1" applyAlignment="1" applyProtection="1">
      <alignment horizontal="center"/>
    </xf>
    <xf numFmtId="0" fontId="34" fillId="29" borderId="1" xfId="20" applyNumberFormat="1" applyFont="1" applyFill="1" applyBorder="1" applyAlignment="1" applyProtection="1">
      <alignment horizontal="center" vertical="center"/>
    </xf>
    <xf numFmtId="0" fontId="4" fillId="0" borderId="211" xfId="0" applyNumberFormat="1" applyFont="1" applyBorder="1" applyAlignment="1" applyProtection="1">
      <alignment horizontal="center" vertical="center"/>
    </xf>
    <xf numFmtId="0" fontId="4" fillId="0" borderId="212" xfId="0" applyNumberFormat="1" applyFont="1" applyBorder="1" applyAlignment="1" applyProtection="1">
      <alignment horizontal="center" vertical="center"/>
    </xf>
    <xf numFmtId="0" fontId="3" fillId="0" borderId="100" xfId="0" applyNumberFormat="1" applyFont="1" applyBorder="1" applyAlignment="1" applyProtection="1">
      <alignment horizontal="center"/>
    </xf>
    <xf numFmtId="0" fontId="4" fillId="0" borderId="216" xfId="0" applyNumberFormat="1" applyFont="1" applyBorder="1" applyAlignment="1" applyProtection="1">
      <alignment horizontal="center" vertical="center"/>
    </xf>
    <xf numFmtId="0" fontId="0" fillId="0" borderId="72" xfId="0" applyBorder="1" applyProtection="1"/>
    <xf numFmtId="0" fontId="0" fillId="0" borderId="132" xfId="0" applyBorder="1" applyProtection="1"/>
    <xf numFmtId="0" fontId="3" fillId="0" borderId="228" xfId="0" applyNumberFormat="1" applyFont="1" applyBorder="1" applyAlignment="1" applyProtection="1">
      <alignment horizontal="center" vertical="center"/>
    </xf>
    <xf numFmtId="0" fontId="3" fillId="0" borderId="229" xfId="0" applyNumberFormat="1" applyFont="1" applyBorder="1" applyAlignment="1" applyProtection="1">
      <alignment horizontal="center" vertical="center"/>
    </xf>
    <xf numFmtId="0" fontId="4" fillId="0" borderId="230" xfId="0" applyNumberFormat="1" applyFont="1" applyBorder="1" applyAlignment="1" applyProtection="1">
      <alignment horizontal="center" vertical="center"/>
    </xf>
    <xf numFmtId="0" fontId="4" fillId="0" borderId="20" xfId="0" applyFont="1" applyBorder="1" applyAlignment="1" applyProtection="1">
      <alignment horizontal="left"/>
    </xf>
    <xf numFmtId="0" fontId="3" fillId="0" borderId="113" xfId="25" applyNumberFormat="1" applyFont="1" applyBorder="1" applyAlignment="1" applyProtection="1">
      <alignment vertical="center" wrapText="1"/>
    </xf>
    <xf numFmtId="0" fontId="3" fillId="0" borderId="17" xfId="0" applyFont="1" applyFill="1" applyBorder="1" applyAlignment="1" applyProtection="1">
      <alignment horizontal="center"/>
    </xf>
    <xf numFmtId="0" fontId="3" fillId="0" borderId="17" xfId="0" applyFont="1" applyBorder="1" applyAlignment="1" applyProtection="1">
      <alignment horizontal="center"/>
    </xf>
    <xf numFmtId="0" fontId="3" fillId="0" borderId="25" xfId="0" applyFont="1" applyBorder="1" applyAlignment="1" applyProtection="1">
      <alignment horizontal="center"/>
    </xf>
    <xf numFmtId="0" fontId="3" fillId="0" borderId="0" xfId="0" applyFont="1" applyFill="1" applyAlignment="1" applyProtection="1">
      <alignment horizontal="center"/>
    </xf>
    <xf numFmtId="0" fontId="47" fillId="31" borderId="0" xfId="0" applyNumberFormat="1" applyFont="1" applyFill="1" applyBorder="1" applyAlignment="1">
      <alignment horizontal="left" vertical="top" wrapText="1"/>
    </xf>
    <xf numFmtId="0" fontId="37" fillId="31" borderId="42" xfId="0" applyNumberFormat="1" applyFont="1" applyFill="1" applyBorder="1"/>
    <xf numFmtId="0" fontId="37" fillId="31" borderId="0" xfId="0" applyNumberFormat="1" applyFont="1" applyFill="1" applyBorder="1"/>
    <xf numFmtId="0" fontId="0" fillId="31" borderId="42" xfId="0" applyFill="1" applyBorder="1"/>
    <xf numFmtId="0" fontId="0" fillId="31" borderId="0" xfId="0" applyFill="1" applyBorder="1"/>
    <xf numFmtId="0" fontId="0" fillId="31" borderId="47" xfId="0" applyFill="1" applyBorder="1"/>
    <xf numFmtId="0" fontId="37" fillId="23" borderId="231" xfId="40" applyNumberFormat="1" applyFont="1" applyFill="1" applyBorder="1" applyAlignment="1" applyProtection="1">
      <alignment horizontal="center" vertical="center"/>
      <protection locked="0"/>
    </xf>
    <xf numFmtId="0" fontId="37" fillId="31" borderId="0" xfId="0" applyNumberFormat="1" applyFont="1" applyFill="1" applyBorder="1" applyAlignment="1"/>
    <xf numFmtId="0" fontId="37" fillId="31" borderId="42" xfId="0" applyNumberFormat="1" applyFont="1" applyFill="1" applyBorder="1" applyAlignment="1"/>
    <xf numFmtId="0" fontId="46" fillId="31" borderId="231" xfId="0" applyNumberFormat="1" applyFont="1" applyFill="1" applyBorder="1" applyAlignment="1">
      <alignment horizontal="center" vertical="center" wrapText="1"/>
    </xf>
    <xf numFmtId="0" fontId="37" fillId="31" borderId="234" xfId="0" applyNumberFormat="1" applyFont="1" applyFill="1" applyBorder="1"/>
    <xf numFmtId="0" fontId="37" fillId="31" borderId="234" xfId="0" applyNumberFormat="1" applyFont="1" applyFill="1" applyBorder="1" applyAlignment="1"/>
    <xf numFmtId="0" fontId="37" fillId="31" borderId="0" xfId="0" applyNumberFormat="1" applyFont="1" applyFill="1" applyBorder="1" applyAlignment="1">
      <alignment horizontal="center"/>
    </xf>
    <xf numFmtId="0" fontId="37" fillId="23" borderId="236" xfId="40" applyNumberFormat="1" applyFont="1" applyFill="1" applyBorder="1" applyAlignment="1" applyProtection="1">
      <alignment horizontal="center" vertical="center"/>
      <protection locked="0"/>
    </xf>
    <xf numFmtId="0" fontId="75" fillId="25" borderId="231" xfId="41" applyNumberFormat="1" applyFont="1" applyFill="1" applyBorder="1" applyAlignment="1">
      <alignment horizontal="center" vertical="center"/>
    </xf>
    <xf numFmtId="0" fontId="75" fillId="25" borderId="231" xfId="41" applyNumberFormat="1" applyFont="1" applyFill="1" applyBorder="1" applyAlignment="1" applyProtection="1">
      <alignment horizontal="center" vertical="center"/>
    </xf>
    <xf numFmtId="0" fontId="6" fillId="23" borderId="231" xfId="42" applyNumberFormat="1" applyFont="1" applyFill="1" applyBorder="1" applyAlignment="1" applyProtection="1">
      <alignment horizontal="center" vertical="center"/>
      <protection locked="0"/>
    </xf>
    <xf numFmtId="0" fontId="37" fillId="31" borderId="100" xfId="0" applyNumberFormat="1" applyFont="1" applyFill="1" applyBorder="1" applyAlignment="1">
      <alignment horizontal="center" vertical="center"/>
    </xf>
    <xf numFmtId="0" fontId="37" fillId="31" borderId="130" xfId="0" applyNumberFormat="1" applyFont="1" applyFill="1" applyBorder="1" applyAlignment="1">
      <alignment horizontal="center" vertical="center"/>
    </xf>
    <xf numFmtId="0" fontId="37" fillId="31" borderId="239" xfId="0" applyNumberFormat="1" applyFont="1" applyFill="1" applyBorder="1" applyAlignment="1"/>
    <xf numFmtId="0" fontId="37" fillId="31" borderId="244" xfId="0" applyNumberFormat="1" applyFont="1" applyFill="1" applyBorder="1" applyAlignment="1">
      <alignment horizontal="center" vertical="center"/>
    </xf>
    <xf numFmtId="0" fontId="37" fillId="31" borderId="245" xfId="0" applyNumberFormat="1" applyFont="1" applyFill="1" applyBorder="1" applyAlignment="1">
      <alignment horizontal="center" vertical="center"/>
    </xf>
    <xf numFmtId="0" fontId="37" fillId="31" borderId="246" xfId="0" applyNumberFormat="1" applyFont="1" applyFill="1" applyBorder="1" applyAlignment="1">
      <alignment horizontal="center" vertical="center"/>
    </xf>
    <xf numFmtId="0" fontId="30" fillId="31" borderId="83" xfId="28" applyFont="1" applyFill="1" applyBorder="1" applyAlignment="1">
      <alignment vertical="center"/>
    </xf>
    <xf numFmtId="0" fontId="49" fillId="31" borderId="84" xfId="28" applyFont="1" applyFill="1" applyBorder="1" applyAlignment="1">
      <alignment horizontal="left"/>
    </xf>
    <xf numFmtId="0" fontId="30" fillId="31" borderId="85" xfId="28" applyFont="1" applyFill="1" applyBorder="1" applyAlignment="1">
      <alignment vertical="center"/>
    </xf>
    <xf numFmtId="0" fontId="30" fillId="31" borderId="86" xfId="28" applyNumberFormat="1" applyFont="1" applyFill="1" applyBorder="1" applyAlignment="1">
      <alignment horizontal="left"/>
    </xf>
    <xf numFmtId="0" fontId="21" fillId="31" borderId="0" xfId="16" applyFont="1" applyFill="1" applyAlignment="1" applyProtection="1">
      <alignment vertical="center"/>
      <protection locked="0"/>
    </xf>
    <xf numFmtId="14" fontId="30" fillId="31" borderId="86" xfId="28" applyNumberFormat="1" applyFont="1" applyFill="1" applyBorder="1" applyAlignment="1">
      <alignment horizontal="left"/>
    </xf>
    <xf numFmtId="0" fontId="30" fillId="31" borderId="85" xfId="28" applyNumberFormat="1" applyFont="1" applyFill="1" applyBorder="1" applyAlignment="1">
      <alignment vertical="center"/>
    </xf>
    <xf numFmtId="0" fontId="49" fillId="31" borderId="86" xfId="28" applyFont="1" applyFill="1" applyBorder="1" applyAlignment="1">
      <alignment horizontal="left"/>
    </xf>
    <xf numFmtId="0" fontId="30" fillId="31" borderId="87" xfId="28" applyFont="1" applyFill="1" applyBorder="1" applyAlignment="1">
      <alignment horizontal="left" vertical="center"/>
    </xf>
    <xf numFmtId="0" fontId="30" fillId="31" borderId="88" xfId="28" applyNumberFormat="1" applyFont="1" applyFill="1" applyBorder="1" applyAlignment="1">
      <alignment horizontal="left" vertical="center"/>
    </xf>
    <xf numFmtId="0" fontId="30" fillId="31" borderId="89" xfId="28" applyFont="1" applyFill="1" applyBorder="1" applyAlignment="1">
      <alignment vertical="center"/>
    </xf>
    <xf numFmtId="14" fontId="30" fillId="31" borderId="90" xfId="28" applyNumberFormat="1" applyFont="1" applyFill="1" applyBorder="1" applyAlignment="1">
      <alignment horizontal="left"/>
    </xf>
    <xf numFmtId="0" fontId="0" fillId="31" borderId="243" xfId="0" applyFill="1" applyBorder="1" applyAlignment="1">
      <alignment horizontal="center" vertical="center"/>
    </xf>
    <xf numFmtId="0" fontId="0" fillId="31" borderId="240" xfId="0" applyFill="1" applyBorder="1" applyAlignment="1">
      <alignment horizontal="center" vertical="center"/>
    </xf>
    <xf numFmtId="0" fontId="0" fillId="31" borderId="100" xfId="0" applyFill="1" applyBorder="1" applyAlignment="1">
      <alignment horizontal="center" vertical="center"/>
    </xf>
    <xf numFmtId="0" fontId="0" fillId="31" borderId="241" xfId="0" applyFill="1" applyBorder="1" applyAlignment="1">
      <alignment horizontal="center" vertical="center"/>
    </xf>
    <xf numFmtId="0" fontId="0" fillId="31" borderId="242" xfId="0" applyFill="1" applyBorder="1" applyAlignment="1">
      <alignment horizontal="center" vertical="center"/>
    </xf>
    <xf numFmtId="0" fontId="37" fillId="31" borderId="0" xfId="40" applyNumberFormat="1" applyFont="1" applyFill="1" applyBorder="1" applyAlignment="1" applyProtection="1">
      <alignment horizontal="center" vertical="center"/>
      <protection locked="0"/>
    </xf>
    <xf numFmtId="0" fontId="0" fillId="31" borderId="238" xfId="0" applyFill="1" applyBorder="1" applyAlignment="1">
      <alignment horizontal="center" vertical="center"/>
    </xf>
    <xf numFmtId="0" fontId="9" fillId="25" borderId="231" xfId="42" applyNumberFormat="1" applyFont="1" applyFill="1" applyBorder="1" applyAlignment="1" applyProtection="1">
      <alignment horizontal="center" vertical="center"/>
    </xf>
    <xf numFmtId="0" fontId="34" fillId="25" borderId="231" xfId="41" applyNumberFormat="1" applyFont="1" applyFill="1" applyBorder="1" applyAlignment="1" applyProtection="1">
      <alignment horizontal="center" vertical="center"/>
    </xf>
    <xf numFmtId="0" fontId="34" fillId="25" borderId="236" xfId="41" applyNumberFormat="1" applyFont="1" applyFill="1" applyBorder="1" applyAlignment="1" applyProtection="1">
      <alignment horizontal="center" vertical="center"/>
    </xf>
    <xf numFmtId="0" fontId="37" fillId="31" borderId="237" xfId="0" applyFont="1" applyFill="1" applyBorder="1" applyAlignment="1">
      <alignment horizontal="left" vertical="top" wrapText="1"/>
    </xf>
    <xf numFmtId="0" fontId="46" fillId="24" borderId="30" xfId="0" applyFont="1" applyFill="1" applyBorder="1"/>
    <xf numFmtId="0" fontId="0" fillId="24" borderId="44" xfId="0" applyFill="1" applyBorder="1"/>
    <xf numFmtId="0" fontId="0" fillId="24" borderId="31" xfId="0" applyFill="1" applyBorder="1"/>
    <xf numFmtId="0" fontId="37" fillId="31" borderId="71" xfId="0" applyFont="1" applyFill="1" applyBorder="1" applyAlignment="1">
      <alignment horizontal="left" vertical="top" wrapText="1"/>
    </xf>
    <xf numFmtId="0" fontId="37" fillId="31" borderId="247" xfId="0" applyFont="1" applyFill="1" applyBorder="1" applyAlignment="1">
      <alignment horizontal="left" vertical="top" wrapText="1"/>
    </xf>
    <xf numFmtId="0" fontId="46" fillId="31" borderId="3" xfId="0" applyNumberFormat="1" applyFont="1" applyFill="1" applyBorder="1" applyAlignment="1">
      <alignment horizontal="center" vertical="center" wrapText="1"/>
    </xf>
    <xf numFmtId="0" fontId="37" fillId="31" borderId="248" xfId="0" applyNumberFormat="1" applyFont="1" applyFill="1" applyBorder="1" applyAlignment="1"/>
    <xf numFmtId="0" fontId="37" fillId="31" borderId="249" xfId="0" applyNumberFormat="1" applyFont="1" applyFill="1" applyBorder="1" applyAlignment="1"/>
    <xf numFmtId="0" fontId="37" fillId="31" borderId="250" xfId="0" applyNumberFormat="1" applyFont="1" applyFill="1" applyBorder="1" applyAlignment="1"/>
    <xf numFmtId="0" fontId="37" fillId="31" borderId="250" xfId="0" applyNumberFormat="1" applyFont="1" applyFill="1" applyBorder="1"/>
    <xf numFmtId="0" fontId="37" fillId="31" borderId="251" xfId="0" applyNumberFormat="1" applyFont="1" applyFill="1" applyBorder="1"/>
    <xf numFmtId="0" fontId="46" fillId="31" borderId="10" xfId="0" applyNumberFormat="1" applyFont="1" applyFill="1" applyBorder="1" applyAlignment="1">
      <alignment horizontal="center" vertical="center" wrapText="1"/>
    </xf>
    <xf numFmtId="0" fontId="34" fillId="25" borderId="10" xfId="41" applyNumberFormat="1" applyFont="1" applyFill="1" applyBorder="1" applyAlignment="1" applyProtection="1">
      <alignment horizontal="center" vertical="center"/>
    </xf>
    <xf numFmtId="0" fontId="37" fillId="31" borderId="252" xfId="0" applyNumberFormat="1" applyFont="1" applyFill="1" applyBorder="1" applyAlignment="1"/>
    <xf numFmtId="0" fontId="37" fillId="23" borderId="253" xfId="40" applyNumberFormat="1" applyFont="1" applyFill="1" applyBorder="1" applyAlignment="1" applyProtection="1">
      <alignment horizontal="center" vertical="center"/>
      <protection locked="0"/>
    </xf>
    <xf numFmtId="0" fontId="34" fillId="25" borderId="253" xfId="41" applyNumberFormat="1" applyFont="1" applyFill="1" applyBorder="1" applyAlignment="1" applyProtection="1">
      <alignment horizontal="center" vertical="center"/>
    </xf>
    <xf numFmtId="0" fontId="34" fillId="25" borderId="254" xfId="41" applyNumberFormat="1" applyFont="1" applyFill="1" applyBorder="1" applyAlignment="1" applyProtection="1">
      <alignment horizontal="center" vertical="center"/>
    </xf>
    <xf numFmtId="0" fontId="9" fillId="29" borderId="231" xfId="42" applyNumberFormat="1" applyFont="1" applyFill="1" applyBorder="1" applyAlignment="1" applyProtection="1">
      <alignment horizontal="center" vertical="center"/>
    </xf>
    <xf numFmtId="0" fontId="9" fillId="0" borderId="0" xfId="42" applyNumberFormat="1" applyFont="1" applyFill="1" applyBorder="1" applyAlignment="1" applyProtection="1">
      <alignment horizontal="center" vertical="center"/>
    </xf>
    <xf numFmtId="0" fontId="37" fillId="31" borderId="235" xfId="0" applyNumberFormat="1" applyFont="1" applyFill="1" applyBorder="1" applyAlignment="1">
      <alignment horizontal="center" vertical="center"/>
    </xf>
    <xf numFmtId="0" fontId="37" fillId="31" borderId="255" xfId="0" applyNumberFormat="1" applyFont="1" applyFill="1" applyBorder="1" applyAlignment="1">
      <alignment horizontal="center" vertical="center"/>
    </xf>
    <xf numFmtId="0" fontId="75" fillId="25" borderId="62" xfId="25" applyNumberFormat="1" applyFont="1" applyFill="1" applyBorder="1" applyAlignment="1" applyProtection="1">
      <alignment horizontal="center" vertical="center"/>
    </xf>
    <xf numFmtId="0" fontId="37" fillId="31" borderId="249" xfId="0" applyNumberFormat="1" applyFont="1" applyFill="1" applyBorder="1"/>
    <xf numFmtId="0" fontId="37" fillId="31" borderId="256" xfId="0" applyNumberFormat="1" applyFont="1" applyFill="1" applyBorder="1" applyAlignment="1">
      <alignment horizontal="center" vertical="center"/>
    </xf>
    <xf numFmtId="0" fontId="0" fillId="22" borderId="0" xfId="0" applyFill="1" applyBorder="1"/>
    <xf numFmtId="0" fontId="9" fillId="8" borderId="253" xfId="25" applyNumberFormat="1" applyFont="1" applyFill="1" applyBorder="1" applyAlignment="1" applyProtection="1">
      <alignment horizontal="center" vertical="center"/>
    </xf>
    <xf numFmtId="0" fontId="3" fillId="0" borderId="257" xfId="0" applyNumberFormat="1" applyFont="1" applyBorder="1" applyAlignment="1" applyProtection="1">
      <alignment horizontal="center" vertical="center"/>
    </xf>
    <xf numFmtId="0" fontId="3" fillId="0" borderId="258" xfId="0" applyNumberFormat="1" applyFont="1" applyBorder="1" applyAlignment="1" applyProtection="1">
      <alignment horizontal="center" vertical="center"/>
    </xf>
    <xf numFmtId="0" fontId="3" fillId="0" borderId="18" xfId="25" applyFont="1" applyBorder="1"/>
    <xf numFmtId="0" fontId="3" fillId="0" borderId="17" xfId="25" applyFont="1" applyBorder="1"/>
    <xf numFmtId="0" fontId="3" fillId="0" borderId="25" xfId="25" applyFont="1" applyBorder="1"/>
    <xf numFmtId="0" fontId="37" fillId="0" borderId="77" xfId="0" applyNumberFormat="1" applyFont="1" applyBorder="1" applyAlignment="1" applyProtection="1">
      <alignment horizontal="center" vertical="center"/>
    </xf>
    <xf numFmtId="0" fontId="0" fillId="0" borderId="147" xfId="0" applyBorder="1" applyAlignment="1" applyProtection="1">
      <alignment horizontal="center" vertical="center"/>
    </xf>
    <xf numFmtId="0" fontId="37" fillId="0" borderId="242" xfId="0" applyNumberFormat="1" applyFont="1" applyBorder="1" applyAlignment="1" applyProtection="1">
      <alignment horizontal="center" vertical="center"/>
    </xf>
    <xf numFmtId="0" fontId="3" fillId="0" borderId="241" xfId="25" applyFont="1" applyBorder="1" applyAlignment="1" applyProtection="1">
      <alignment horizontal="center" vertical="center"/>
    </xf>
    <xf numFmtId="168" fontId="9" fillId="8" borderId="163" xfId="20" applyNumberFormat="1" applyFont="1" applyFill="1" applyBorder="1" applyAlignment="1" applyProtection="1">
      <alignment horizontal="center" vertical="center" wrapText="1"/>
    </xf>
    <xf numFmtId="169" fontId="9" fillId="8" borderId="147" xfId="32" applyNumberFormat="1" applyFont="1" applyFill="1" applyBorder="1" applyAlignment="1" applyProtection="1">
      <alignment horizontal="center" vertical="center" wrapText="1"/>
    </xf>
    <xf numFmtId="166" fontId="9" fillId="8" borderId="103" xfId="20" applyNumberFormat="1" applyFont="1" applyFill="1" applyBorder="1" applyAlignment="1" applyProtection="1">
      <alignment horizontal="center" vertical="center" wrapText="1"/>
    </xf>
    <xf numFmtId="169" fontId="9" fillId="8" borderId="1" xfId="20" applyNumberFormat="1" applyFont="1" applyFill="1" applyBorder="1" applyAlignment="1" applyProtection="1">
      <alignment horizontal="center" vertical="center" wrapText="1"/>
    </xf>
    <xf numFmtId="0" fontId="3" fillId="22" borderId="0" xfId="0" applyFont="1" applyFill="1" applyAlignment="1" applyProtection="1">
      <alignment vertical="center"/>
    </xf>
    <xf numFmtId="0" fontId="3" fillId="0" borderId="0" xfId="0" applyFont="1" applyFill="1" applyAlignment="1" applyProtection="1">
      <alignment vertical="center"/>
    </xf>
    <xf numFmtId="0" fontId="8" fillId="0" borderId="1" xfId="0" applyNumberFormat="1" applyFont="1" applyBorder="1" applyAlignment="1" applyProtection="1">
      <alignment horizontal="center" vertical="center"/>
    </xf>
    <xf numFmtId="0" fontId="8" fillId="0" borderId="3" xfId="0" applyNumberFormat="1" applyFont="1" applyBorder="1" applyAlignment="1" applyProtection="1">
      <alignment horizontal="center" wrapText="1"/>
    </xf>
    <xf numFmtId="0" fontId="8" fillId="0" borderId="1" xfId="0" applyNumberFormat="1" applyFont="1" applyBorder="1" applyAlignment="1" applyProtection="1">
      <alignment horizontal="center"/>
    </xf>
    <xf numFmtId="0" fontId="0" fillId="0" borderId="237" xfId="0" applyNumberFormat="1" applyBorder="1" applyProtection="1"/>
    <xf numFmtId="0" fontId="0" fillId="0" borderId="237" xfId="0" applyNumberFormat="1" applyBorder="1" applyAlignment="1" applyProtection="1">
      <alignment horizontal="center"/>
    </xf>
    <xf numFmtId="0" fontId="3" fillId="0" borderId="237" xfId="0" applyFont="1" applyBorder="1" applyAlignment="1" applyProtection="1">
      <alignment horizontal="center"/>
    </xf>
    <xf numFmtId="0" fontId="4" fillId="0" borderId="261" xfId="0" applyFont="1" applyBorder="1" applyAlignment="1" applyProtection="1">
      <alignment vertical="top" wrapText="1"/>
    </xf>
    <xf numFmtId="0" fontId="3" fillId="5" borderId="12" xfId="25" applyNumberFormat="1" applyFont="1" applyFill="1" applyBorder="1" applyAlignment="1" applyProtection="1">
      <alignment horizontal="center" vertical="center"/>
      <protection locked="0"/>
    </xf>
    <xf numFmtId="0" fontId="3" fillId="0" borderId="265" xfId="0" applyNumberFormat="1" applyFont="1" applyBorder="1" applyAlignment="1" applyProtection="1">
      <alignment horizontal="center" vertical="center"/>
    </xf>
    <xf numFmtId="0" fontId="48" fillId="0" borderId="60" xfId="16" applyFont="1" applyBorder="1" applyAlignment="1" applyProtection="1">
      <alignment vertical="center"/>
      <protection locked="0"/>
    </xf>
    <xf numFmtId="0" fontId="48" fillId="0" borderId="266" xfId="16" applyFont="1" applyBorder="1" applyAlignment="1" applyProtection="1">
      <alignment vertical="center"/>
      <protection locked="0"/>
    </xf>
    <xf numFmtId="0" fontId="6" fillId="5" borderId="12" xfId="20" applyFont="1" applyFill="1" applyBorder="1" applyAlignment="1" applyProtection="1">
      <alignment horizontal="center" vertical="center"/>
      <protection locked="0"/>
    </xf>
    <xf numFmtId="0" fontId="34" fillId="0" borderId="132" xfId="0" applyFont="1" applyFill="1" applyBorder="1" applyAlignment="1" applyProtection="1">
      <alignment horizontal="center" vertical="center"/>
    </xf>
    <xf numFmtId="0" fontId="6" fillId="23" borderId="1" xfId="20" applyNumberFormat="1" applyFont="1" applyFill="1" applyBorder="1" applyAlignment="1" applyProtection="1">
      <alignment horizontal="center" vertical="center" wrapText="1"/>
      <protection locked="0"/>
    </xf>
    <xf numFmtId="167" fontId="9" fillId="25" borderId="93" xfId="20" applyNumberFormat="1" applyFont="1" applyFill="1" applyBorder="1" applyAlignment="1" applyProtection="1">
      <alignment horizontal="center" vertical="center" wrapText="1"/>
    </xf>
    <xf numFmtId="0" fontId="9" fillId="25" borderId="0" xfId="20" applyNumberFormat="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xf numFmtId="0" fontId="6" fillId="10" borderId="18" xfId="15" applyFont="1" applyFill="1" applyBorder="1" applyAlignment="1">
      <alignment horizontal="left" vertical="center" wrapText="1"/>
    </xf>
    <xf numFmtId="0" fontId="6" fillId="10" borderId="25" xfId="15" applyFont="1" applyFill="1" applyBorder="1" applyAlignment="1">
      <alignment horizontal="left" vertical="center" wrapText="1"/>
    </xf>
    <xf numFmtId="0" fontId="6" fillId="10" borderId="42" xfId="15" applyFont="1" applyFill="1" applyBorder="1" applyAlignment="1">
      <alignment horizontal="left" vertical="center" wrapText="1"/>
    </xf>
    <xf numFmtId="0" fontId="6" fillId="10" borderId="47" xfId="15" applyFont="1" applyFill="1" applyBorder="1" applyAlignment="1">
      <alignment horizontal="left" vertical="center" wrapText="1"/>
    </xf>
    <xf numFmtId="0" fontId="6" fillId="10" borderId="22" xfId="15" applyFont="1" applyFill="1" applyBorder="1" applyAlignment="1">
      <alignment horizontal="left" vertical="center" wrapText="1"/>
    </xf>
    <xf numFmtId="0" fontId="6" fillId="10" borderId="54" xfId="15" applyFont="1" applyFill="1" applyBorder="1" applyAlignment="1">
      <alignment horizontal="left" vertical="center" wrapText="1"/>
    </xf>
    <xf numFmtId="0" fontId="6" fillId="10" borderId="18" xfId="15" applyFont="1" applyFill="1" applyBorder="1" applyAlignment="1" applyProtection="1">
      <alignment horizontal="left" vertical="center" wrapText="1"/>
    </xf>
    <xf numFmtId="0" fontId="6" fillId="10" borderId="25" xfId="15" applyFont="1" applyFill="1" applyBorder="1" applyAlignment="1" applyProtection="1">
      <alignment horizontal="left" vertical="center" wrapText="1"/>
    </xf>
    <xf numFmtId="0" fontId="6" fillId="10" borderId="22" xfId="15" applyFont="1" applyFill="1" applyBorder="1" applyAlignment="1" applyProtection="1">
      <alignment horizontal="left" vertical="center" wrapText="1"/>
    </xf>
    <xf numFmtId="0" fontId="6" fillId="10" borderId="54" xfId="15" applyFont="1" applyFill="1" applyBorder="1" applyAlignment="1" applyProtection="1">
      <alignment horizontal="left" vertical="center" wrapText="1"/>
    </xf>
    <xf numFmtId="0" fontId="19" fillId="9" borderId="9" xfId="15" applyFont="1" applyFill="1" applyBorder="1" applyAlignment="1">
      <alignment horizontal="center" vertical="center"/>
    </xf>
    <xf numFmtId="0" fontId="19" fillId="9" borderId="5" xfId="15" applyFont="1" applyFill="1" applyBorder="1" applyAlignment="1">
      <alignment horizontal="center" vertical="center"/>
    </xf>
    <xf numFmtId="0" fontId="19" fillId="9" borderId="8" xfId="15" applyFont="1" applyFill="1" applyBorder="1" applyAlignment="1">
      <alignment horizontal="center" vertical="center"/>
    </xf>
    <xf numFmtId="0" fontId="19" fillId="9" borderId="7" xfId="15" applyFont="1" applyFill="1" applyBorder="1" applyAlignment="1">
      <alignment horizontal="center" vertical="center"/>
    </xf>
    <xf numFmtId="0" fontId="14" fillId="19" borderId="30" xfId="15" applyFont="1" applyBorder="1" applyAlignment="1">
      <alignment horizontal="left" vertical="center"/>
    </xf>
    <xf numFmtId="0" fontId="14" fillId="19" borderId="31" xfId="15" applyFont="1" applyBorder="1" applyAlignment="1">
      <alignment horizontal="left" vertical="center"/>
    </xf>
    <xf numFmtId="0" fontId="46" fillId="24" borderId="30" xfId="0" applyFont="1" applyFill="1" applyBorder="1" applyAlignment="1">
      <alignment horizontal="center"/>
    </xf>
    <xf numFmtId="0" fontId="46" fillId="24" borderId="31" xfId="0" applyFont="1" applyFill="1" applyBorder="1" applyAlignment="1">
      <alignment horizontal="center"/>
    </xf>
    <xf numFmtId="0" fontId="46" fillId="24" borderId="78" xfId="0" applyFont="1" applyFill="1" applyBorder="1" applyAlignment="1">
      <alignment horizontal="center" vertical="center"/>
    </xf>
    <xf numFmtId="0" fontId="46" fillId="24" borderId="94" xfId="0" applyFont="1" applyFill="1" applyBorder="1" applyAlignment="1">
      <alignment horizontal="center" vertical="center"/>
    </xf>
    <xf numFmtId="0" fontId="46" fillId="24" borderId="105" xfId="0" applyFont="1" applyFill="1" applyBorder="1" applyAlignment="1">
      <alignment horizontal="center" vertical="center"/>
    </xf>
    <xf numFmtId="0" fontId="46" fillId="24" borderId="79" xfId="0" applyFont="1" applyFill="1" applyBorder="1" applyAlignment="1">
      <alignment horizontal="center" vertical="center"/>
    </xf>
    <xf numFmtId="0" fontId="48" fillId="0" borderId="30" xfId="16" applyNumberFormat="1" applyFont="1" applyBorder="1" applyAlignment="1" applyProtection="1">
      <alignment horizontal="left" vertical="center"/>
      <protection locked="0"/>
    </xf>
    <xf numFmtId="0" fontId="48" fillId="0" borderId="31" xfId="16" applyNumberFormat="1" applyFont="1" applyBorder="1" applyAlignment="1" applyProtection="1">
      <alignment horizontal="left" vertical="center"/>
      <protection locked="0"/>
    </xf>
    <xf numFmtId="0" fontId="14" fillId="19" borderId="30" xfId="15" applyFont="1" applyBorder="1" applyAlignment="1">
      <alignment horizontal="left" vertical="center" wrapText="1"/>
    </xf>
    <xf numFmtId="0" fontId="14" fillId="19" borderId="31" xfId="15" applyFont="1" applyBorder="1" applyAlignment="1">
      <alignment horizontal="left" vertical="center" wrapText="1"/>
    </xf>
    <xf numFmtId="0" fontId="3" fillId="0" borderId="0" xfId="24" applyFont="1" applyFill="1" applyBorder="1" applyAlignment="1" applyProtection="1">
      <alignment horizontal="left"/>
    </xf>
    <xf numFmtId="0" fontId="13" fillId="11" borderId="18" xfId="15" applyFont="1" applyFill="1" applyBorder="1" applyAlignment="1" applyProtection="1">
      <alignment horizontal="left" vertical="center" wrapText="1"/>
    </xf>
    <xf numFmtId="0" fontId="13" fillId="11" borderId="17" xfId="15" applyFont="1" applyFill="1" applyBorder="1" applyAlignment="1" applyProtection="1">
      <alignment horizontal="left" vertical="center" wrapText="1"/>
    </xf>
    <xf numFmtId="0" fontId="13" fillId="11" borderId="25" xfId="15" applyFont="1" applyFill="1" applyBorder="1" applyAlignment="1" applyProtection="1">
      <alignment horizontal="left" vertical="center" wrapText="1"/>
    </xf>
    <xf numFmtId="0" fontId="13" fillId="11" borderId="42" xfId="15" applyFont="1" applyFill="1" applyBorder="1" applyAlignment="1" applyProtection="1">
      <alignment horizontal="left" vertical="center" wrapText="1"/>
    </xf>
    <xf numFmtId="0" fontId="13" fillId="11" borderId="0" xfId="15" applyFont="1" applyFill="1" applyBorder="1" applyAlignment="1" applyProtection="1">
      <alignment horizontal="left" vertical="center" wrapText="1"/>
    </xf>
    <xf numFmtId="0" fontId="13" fillId="11" borderId="47" xfId="15" applyFont="1" applyFill="1" applyBorder="1" applyAlignment="1" applyProtection="1">
      <alignment horizontal="left" vertical="center" wrapText="1"/>
    </xf>
    <xf numFmtId="0" fontId="8" fillId="0" borderId="71" xfId="24" applyFont="1" applyBorder="1" applyAlignment="1" applyProtection="1">
      <alignment horizontal="center"/>
    </xf>
    <xf numFmtId="0" fontId="8" fillId="0" borderId="49" xfId="24" applyFont="1" applyBorder="1" applyAlignment="1" applyProtection="1">
      <alignment horizontal="center"/>
    </xf>
    <xf numFmtId="0" fontId="3" fillId="0" borderId="71" xfId="24" applyFont="1" applyBorder="1" applyAlignment="1" applyProtection="1">
      <alignment horizontal="left"/>
    </xf>
    <xf numFmtId="0" fontId="3" fillId="0" borderId="49" xfId="24" applyFont="1" applyBorder="1" applyAlignment="1" applyProtection="1">
      <alignment horizontal="left"/>
    </xf>
    <xf numFmtId="0" fontId="3" fillId="0" borderId="69" xfId="24" applyFont="1" applyBorder="1" applyAlignment="1" applyProtection="1">
      <alignment horizontal="left"/>
    </xf>
    <xf numFmtId="0" fontId="3" fillId="0" borderId="70" xfId="24" applyFont="1" applyBorder="1" applyAlignment="1" applyProtection="1">
      <alignment horizontal="left"/>
    </xf>
    <xf numFmtId="0" fontId="13" fillId="19" borderId="30" xfId="15" applyFont="1" applyBorder="1" applyAlignment="1" applyProtection="1">
      <alignment horizontal="left" vertical="center"/>
    </xf>
    <xf numFmtId="0" fontId="13" fillId="19" borderId="44" xfId="15" applyFont="1" applyBorder="1" applyAlignment="1" applyProtection="1">
      <alignment horizontal="left" vertical="center"/>
    </xf>
    <xf numFmtId="0" fontId="13" fillId="19" borderId="31" xfId="15" applyFont="1" applyBorder="1" applyAlignment="1" applyProtection="1">
      <alignment horizontal="left" vertical="center"/>
    </xf>
    <xf numFmtId="0" fontId="46" fillId="0" borderId="14" xfId="24" applyFont="1" applyBorder="1" applyAlignment="1" applyProtection="1">
      <alignment horizontal="center" vertical="center" wrapText="1"/>
    </xf>
    <xf numFmtId="0" fontId="46" fillId="0" borderId="1" xfId="24" applyFont="1" applyBorder="1" applyAlignment="1" applyProtection="1">
      <alignment horizontal="center" vertical="center" wrapText="1"/>
    </xf>
    <xf numFmtId="0" fontId="14" fillId="19" borderId="30" xfId="15" applyFont="1" applyBorder="1" applyAlignment="1" applyProtection="1">
      <alignment horizontal="left" vertical="center" wrapText="1"/>
    </xf>
    <xf numFmtId="0" fontId="14" fillId="19" borderId="31" xfId="15" applyFont="1" applyBorder="1" applyAlignment="1" applyProtection="1">
      <alignment horizontal="left" vertical="center" wrapText="1"/>
    </xf>
    <xf numFmtId="0" fontId="3" fillId="5" borderId="42" xfId="25" applyFont="1" applyFill="1" applyBorder="1" applyAlignment="1" applyProtection="1">
      <alignment horizontal="center" vertical="top" wrapText="1"/>
      <protection locked="0"/>
    </xf>
    <xf numFmtId="0" fontId="3" fillId="5" borderId="0" xfId="25" applyFont="1" applyFill="1" applyBorder="1" applyAlignment="1" applyProtection="1">
      <alignment horizontal="center" vertical="top" wrapText="1"/>
      <protection locked="0"/>
    </xf>
    <xf numFmtId="0" fontId="3" fillId="5" borderId="47" xfId="25" applyFont="1" applyFill="1" applyBorder="1" applyAlignment="1" applyProtection="1">
      <alignment horizontal="center" vertical="top" wrapText="1"/>
      <protection locked="0"/>
    </xf>
    <xf numFmtId="0" fontId="3" fillId="5" borderId="22" xfId="25" applyFont="1" applyFill="1" applyBorder="1" applyAlignment="1" applyProtection="1">
      <alignment horizontal="center" vertical="top" wrapText="1"/>
      <protection locked="0"/>
    </xf>
    <xf numFmtId="0" fontId="3" fillId="5" borderId="20" xfId="25" applyFont="1" applyFill="1" applyBorder="1" applyAlignment="1" applyProtection="1">
      <alignment horizontal="center" vertical="top" wrapText="1"/>
      <protection locked="0"/>
    </xf>
    <xf numFmtId="0" fontId="3" fillId="5" borderId="54" xfId="25" applyFont="1" applyFill="1" applyBorder="1" applyAlignment="1" applyProtection="1">
      <alignment horizontal="center" vertical="top" wrapText="1"/>
      <protection locked="0"/>
    </xf>
    <xf numFmtId="0" fontId="8" fillId="0" borderId="15" xfId="28" applyFont="1" applyFill="1" applyBorder="1" applyAlignment="1" applyProtection="1">
      <alignment horizontal="center" vertical="center" wrapText="1"/>
    </xf>
    <xf numFmtId="0" fontId="8" fillId="0" borderId="10" xfId="28" applyFont="1" applyFill="1" applyBorder="1" applyAlignment="1" applyProtection="1">
      <alignment horizontal="center" vertical="center" wrapText="1"/>
    </xf>
    <xf numFmtId="0" fontId="8" fillId="0" borderId="14" xfId="28" applyFont="1" applyFill="1" applyBorder="1" applyAlignment="1" applyProtection="1">
      <alignment horizontal="center" vertical="center" wrapText="1"/>
    </xf>
    <xf numFmtId="0" fontId="8" fillId="0" borderId="1" xfId="28" applyFont="1" applyFill="1" applyBorder="1" applyAlignment="1" applyProtection="1">
      <alignment horizontal="center" vertical="center" wrapText="1"/>
    </xf>
    <xf numFmtId="0" fontId="8" fillId="0" borderId="13" xfId="28" applyFont="1" applyBorder="1" applyAlignment="1" applyProtection="1">
      <alignment horizontal="center" vertical="center" wrapText="1"/>
    </xf>
    <xf numFmtId="0" fontId="8" fillId="0" borderId="3" xfId="28" applyFont="1" applyBorder="1" applyAlignment="1" applyProtection="1">
      <alignment horizontal="center" vertical="center" wrapText="1"/>
    </xf>
    <xf numFmtId="0" fontId="8" fillId="0" borderId="1" xfId="28" applyFont="1" applyBorder="1" applyAlignment="1" applyProtection="1">
      <alignment horizontal="center" vertical="center" wrapText="1"/>
    </xf>
    <xf numFmtId="0" fontId="8" fillId="0" borderId="14" xfId="28" applyFont="1" applyBorder="1" applyAlignment="1" applyProtection="1">
      <alignment horizontal="center" vertical="center" wrapText="1"/>
    </xf>
    <xf numFmtId="0" fontId="4" fillId="0" borderId="37" xfId="25" applyNumberFormat="1" applyFont="1" applyFill="1" applyBorder="1" applyAlignment="1" applyProtection="1">
      <alignment horizontal="left" vertical="center" wrapText="1"/>
    </xf>
    <xf numFmtId="0" fontId="4" fillId="0" borderId="120" xfId="25" applyNumberFormat="1" applyFont="1" applyFill="1" applyBorder="1" applyAlignment="1" applyProtection="1">
      <alignment horizontal="left" vertical="center" wrapText="1"/>
    </xf>
    <xf numFmtId="0" fontId="4" fillId="0" borderId="38" xfId="25" applyNumberFormat="1" applyFont="1" applyFill="1" applyBorder="1" applyAlignment="1" applyProtection="1">
      <alignment horizontal="left" vertical="center" wrapText="1"/>
    </xf>
    <xf numFmtId="0" fontId="59" fillId="0" borderId="39" xfId="15" applyNumberFormat="1" applyFont="1" applyFill="1" applyBorder="1" applyAlignment="1" applyProtection="1">
      <alignment horizontal="left" vertical="top" wrapText="1"/>
    </xf>
    <xf numFmtId="0" fontId="59" fillId="0" borderId="138" xfId="15" applyNumberFormat="1" applyFont="1" applyFill="1" applyBorder="1" applyAlignment="1" applyProtection="1">
      <alignment horizontal="left" vertical="top"/>
    </xf>
    <xf numFmtId="0" fontId="59" fillId="0" borderId="32" xfId="15" applyNumberFormat="1" applyFont="1" applyFill="1" applyBorder="1" applyAlignment="1" applyProtection="1">
      <alignment horizontal="left" vertical="top"/>
    </xf>
    <xf numFmtId="0" fontId="13" fillId="0" borderId="69" xfId="15" applyNumberFormat="1" applyFont="1" applyFill="1" applyBorder="1" applyAlignment="1" applyProtection="1">
      <alignment horizontal="left" vertical="top" wrapText="1"/>
    </xf>
    <xf numFmtId="0" fontId="13" fillId="0" borderId="164" xfId="15" applyNumberFormat="1" applyFont="1" applyFill="1" applyBorder="1" applyAlignment="1" applyProtection="1">
      <alignment horizontal="left" vertical="top" wrapText="1"/>
    </xf>
    <xf numFmtId="0" fontId="13" fillId="0" borderId="46" xfId="15" applyNumberFormat="1" applyFont="1" applyFill="1" applyBorder="1" applyAlignment="1" applyProtection="1">
      <alignment horizontal="left" vertical="top" wrapText="1"/>
    </xf>
    <xf numFmtId="0" fontId="3" fillId="0" borderId="221" xfId="25" applyNumberFormat="1" applyFont="1" applyBorder="1" applyAlignment="1" applyProtection="1">
      <alignment horizontal="left" vertical="top" wrapText="1"/>
    </xf>
    <xf numFmtId="0" fontId="3" fillId="0" borderId="222" xfId="25" applyNumberFormat="1" applyFont="1" applyBorder="1" applyAlignment="1" applyProtection="1">
      <alignment horizontal="left" vertical="top"/>
    </xf>
    <xf numFmtId="0" fontId="13" fillId="0" borderId="63" xfId="15" applyNumberFormat="1" applyFont="1" applyFill="1" applyBorder="1" applyAlignment="1" applyProtection="1">
      <alignment horizontal="left" vertical="center" wrapText="1"/>
    </xf>
    <xf numFmtId="0" fontId="13" fillId="0" borderId="8" xfId="15" applyNumberFormat="1" applyFont="1" applyFill="1" applyBorder="1" applyAlignment="1" applyProtection="1">
      <alignment horizontal="left" vertical="center" wrapText="1"/>
    </xf>
    <xf numFmtId="0" fontId="8" fillId="0" borderId="218" xfId="0" applyNumberFormat="1" applyFont="1" applyFill="1" applyBorder="1" applyAlignment="1" applyProtection="1">
      <alignment horizontal="left" vertical="center" wrapText="1"/>
    </xf>
    <xf numFmtId="0" fontId="8" fillId="0" borderId="226" xfId="0" applyNumberFormat="1" applyFont="1" applyFill="1" applyBorder="1" applyAlignment="1" applyProtection="1">
      <alignment horizontal="left" vertical="center" wrapText="1"/>
    </xf>
    <xf numFmtId="0" fontId="13" fillId="0" borderId="213" xfId="15" applyNumberFormat="1" applyFont="1" applyFill="1" applyBorder="1" applyAlignment="1" applyProtection="1">
      <alignment horizontal="left" vertical="center" wrapText="1"/>
    </xf>
    <xf numFmtId="0" fontId="13" fillId="0" borderId="225" xfId="15" applyNumberFormat="1" applyFont="1" applyFill="1" applyBorder="1" applyAlignment="1" applyProtection="1">
      <alignment horizontal="left" vertical="center" wrapText="1"/>
    </xf>
    <xf numFmtId="0" fontId="3" fillId="0" borderId="99" xfId="25" applyNumberFormat="1" applyFont="1" applyBorder="1" applyAlignment="1" applyProtection="1">
      <alignment horizontal="left" vertical="top"/>
    </xf>
    <xf numFmtId="0" fontId="3" fillId="0" borderId="77" xfId="25" applyNumberFormat="1" applyFont="1" applyBorder="1" applyAlignment="1" applyProtection="1">
      <alignment horizontal="left" vertical="top"/>
    </xf>
    <xf numFmtId="0" fontId="8" fillId="0" borderId="1" xfId="0" applyNumberFormat="1" applyFont="1" applyBorder="1" applyAlignment="1" applyProtection="1">
      <alignment horizontal="center" vertical="center"/>
    </xf>
    <xf numFmtId="0" fontId="8" fillId="0" borderId="3" xfId="0" applyNumberFormat="1" applyFont="1" applyBorder="1" applyAlignment="1" applyProtection="1">
      <alignment horizontal="center" wrapText="1"/>
    </xf>
    <xf numFmtId="0" fontId="8" fillId="0" borderId="1" xfId="0" applyNumberFormat="1" applyFont="1" applyBorder="1" applyAlignment="1" applyProtection="1">
      <alignment horizontal="center" wrapText="1"/>
    </xf>
    <xf numFmtId="0" fontId="8" fillId="0" borderId="1" xfId="0" applyNumberFormat="1" applyFont="1" applyBorder="1" applyAlignment="1" applyProtection="1">
      <alignment horizontal="center"/>
    </xf>
    <xf numFmtId="0" fontId="13" fillId="0" borderId="71" xfId="15" applyNumberFormat="1" applyFont="1" applyFill="1" applyBorder="1" applyAlignment="1" applyProtection="1">
      <alignment horizontal="left" vertical="top" wrapText="1"/>
    </xf>
    <xf numFmtId="0" fontId="13" fillId="0" borderId="66" xfId="15" applyNumberFormat="1" applyFont="1" applyFill="1" applyBorder="1" applyAlignment="1" applyProtection="1">
      <alignment horizontal="left" vertical="top" wrapText="1"/>
    </xf>
    <xf numFmtId="0" fontId="13" fillId="0" borderId="45" xfId="15" applyNumberFormat="1" applyFont="1" applyFill="1" applyBorder="1" applyAlignment="1" applyProtection="1">
      <alignment horizontal="left" vertical="top" wrapText="1"/>
    </xf>
    <xf numFmtId="0" fontId="13" fillId="0" borderId="37" xfId="15" applyNumberFormat="1" applyFont="1" applyFill="1" applyBorder="1" applyAlignment="1" applyProtection="1">
      <alignment horizontal="left" vertical="top" wrapText="1"/>
    </xf>
    <xf numFmtId="0" fontId="13" fillId="0" borderId="120" xfId="15" applyNumberFormat="1" applyFont="1" applyFill="1" applyBorder="1" applyAlignment="1" applyProtection="1">
      <alignment horizontal="left" vertical="top" wrapText="1"/>
    </xf>
    <xf numFmtId="0" fontId="13" fillId="0" borderId="38" xfId="15" applyNumberFormat="1" applyFont="1" applyFill="1" applyBorder="1" applyAlignment="1" applyProtection="1">
      <alignment horizontal="left" vertical="top" wrapText="1"/>
    </xf>
    <xf numFmtId="0" fontId="13" fillId="0" borderId="5" xfId="15" applyNumberFormat="1" applyFont="1" applyFill="1" applyBorder="1" applyAlignment="1" applyProtection="1">
      <alignment horizontal="left" vertical="top" wrapText="1"/>
    </xf>
    <xf numFmtId="0" fontId="13" fillId="0" borderId="6" xfId="15" applyNumberFormat="1" applyFont="1" applyFill="1" applyBorder="1" applyAlignment="1" applyProtection="1">
      <alignment horizontal="left" vertical="top"/>
    </xf>
    <xf numFmtId="0" fontId="13" fillId="0" borderId="7" xfId="15" applyNumberFormat="1" applyFont="1" applyFill="1" applyBorder="1" applyAlignment="1" applyProtection="1">
      <alignment horizontal="left" vertical="top"/>
    </xf>
    <xf numFmtId="0" fontId="13" fillId="0" borderId="3" xfId="15" applyNumberFormat="1" applyFont="1" applyFill="1" applyBorder="1" applyAlignment="1" applyProtection="1">
      <alignment horizontal="left" vertical="top" wrapText="1"/>
    </xf>
    <xf numFmtId="0" fontId="13" fillId="0" borderId="1" xfId="15" applyNumberFormat="1" applyFont="1" applyFill="1" applyBorder="1" applyAlignment="1" applyProtection="1">
      <alignment horizontal="left" vertical="top" wrapText="1"/>
    </xf>
    <xf numFmtId="0" fontId="13" fillId="0" borderId="10" xfId="15" applyNumberFormat="1" applyFont="1" applyFill="1" applyBorder="1" applyAlignment="1" applyProtection="1">
      <alignment horizontal="left" vertical="top" wrapText="1"/>
    </xf>
    <xf numFmtId="0" fontId="4" fillId="0" borderId="13" xfId="25" applyFont="1" applyFill="1" applyBorder="1" applyAlignment="1" applyProtection="1">
      <alignment horizontal="left" vertical="top" wrapText="1"/>
    </xf>
    <xf numFmtId="0" fontId="4" fillId="0" borderId="14" xfId="25" applyFont="1" applyFill="1" applyBorder="1" applyAlignment="1" applyProtection="1">
      <alignment horizontal="left" vertical="top" wrapText="1"/>
    </xf>
    <xf numFmtId="0" fontId="4" fillId="0" borderId="15" xfId="25" applyFont="1" applyFill="1" applyBorder="1" applyAlignment="1" applyProtection="1">
      <alignment horizontal="left" vertical="top" wrapText="1"/>
    </xf>
    <xf numFmtId="0" fontId="4" fillId="0" borderId="13" xfId="25" applyNumberFormat="1" applyFont="1" applyFill="1" applyBorder="1" applyAlignment="1" applyProtection="1">
      <alignment horizontal="left" vertical="top" wrapText="1"/>
    </xf>
    <xf numFmtId="0" fontId="4" fillId="0" borderId="14" xfId="25" applyNumberFormat="1" applyFont="1" applyFill="1" applyBorder="1" applyAlignment="1" applyProtection="1">
      <alignment horizontal="left" vertical="top"/>
    </xf>
    <xf numFmtId="0" fontId="4" fillId="0" borderId="15" xfId="25" applyNumberFormat="1" applyFont="1" applyFill="1" applyBorder="1" applyAlignment="1" applyProtection="1">
      <alignment horizontal="left" vertical="top"/>
    </xf>
    <xf numFmtId="0" fontId="4" fillId="0" borderId="3" xfId="25" applyNumberFormat="1" applyFont="1" applyFill="1" applyBorder="1" applyAlignment="1" applyProtection="1">
      <alignment horizontal="left" vertical="top" wrapText="1"/>
    </xf>
    <xf numFmtId="0" fontId="4" fillId="0" borderId="1" xfId="25" applyNumberFormat="1" applyFont="1" applyFill="1" applyBorder="1" applyAlignment="1" applyProtection="1">
      <alignment horizontal="left" vertical="top"/>
    </xf>
    <xf numFmtId="0" fontId="4" fillId="0" borderId="10" xfId="25" applyNumberFormat="1" applyFont="1" applyFill="1" applyBorder="1" applyAlignment="1" applyProtection="1">
      <alignment horizontal="left" vertical="top"/>
    </xf>
    <xf numFmtId="0" fontId="4" fillId="0" borderId="1" xfId="25" applyNumberFormat="1" applyFont="1" applyFill="1" applyBorder="1" applyAlignment="1" applyProtection="1">
      <alignment horizontal="left" vertical="top" wrapText="1"/>
    </xf>
    <xf numFmtId="0" fontId="4" fillId="0" borderId="10" xfId="25" applyNumberFormat="1" applyFont="1" applyFill="1" applyBorder="1" applyAlignment="1" applyProtection="1">
      <alignment horizontal="left" vertical="top" wrapText="1"/>
    </xf>
    <xf numFmtId="0" fontId="37" fillId="0" borderId="263" xfId="0" applyNumberFormat="1" applyFont="1" applyBorder="1" applyAlignment="1" applyProtection="1">
      <alignment horizontal="left" vertical="top"/>
    </xf>
    <xf numFmtId="0" fontId="37" fillId="0" borderId="259" xfId="0" applyNumberFormat="1" applyFont="1" applyBorder="1" applyAlignment="1" applyProtection="1">
      <alignment horizontal="left" vertical="top"/>
    </xf>
    <xf numFmtId="0" fontId="13" fillId="0" borderId="39" xfId="15" applyNumberFormat="1" applyFont="1" applyFill="1" applyBorder="1" applyAlignment="1" applyProtection="1">
      <alignment horizontal="left" vertical="top" wrapText="1"/>
    </xf>
    <xf numFmtId="0" fontId="13" fillId="0" borderId="138" xfId="15" applyNumberFormat="1" applyFont="1" applyFill="1" applyBorder="1" applyAlignment="1" applyProtection="1">
      <alignment horizontal="left" vertical="top"/>
    </xf>
    <xf numFmtId="0" fontId="13" fillId="0" borderId="32" xfId="15" applyNumberFormat="1" applyFont="1" applyFill="1" applyBorder="1" applyAlignment="1" applyProtection="1">
      <alignment horizontal="left" vertical="top"/>
    </xf>
    <xf numFmtId="0" fontId="3" fillId="0" borderId="113" xfId="25" applyNumberFormat="1" applyFont="1" applyBorder="1" applyAlignment="1" applyProtection="1">
      <alignment horizontal="left" vertical="top"/>
    </xf>
    <xf numFmtId="0" fontId="3" fillId="0" borderId="207" xfId="25" applyNumberFormat="1" applyFont="1" applyBorder="1" applyAlignment="1" applyProtection="1">
      <alignment horizontal="left" vertical="top"/>
    </xf>
    <xf numFmtId="0" fontId="3" fillId="0" borderId="115" xfId="25" applyNumberFormat="1" applyFont="1" applyBorder="1" applyAlignment="1" applyProtection="1">
      <alignment horizontal="left" vertical="top"/>
    </xf>
    <xf numFmtId="0" fontId="3" fillId="0" borderId="224" xfId="25" applyNumberFormat="1" applyFont="1" applyBorder="1" applyAlignment="1" applyProtection="1">
      <alignment horizontal="left" vertical="top"/>
    </xf>
    <xf numFmtId="0" fontId="3" fillId="0" borderId="112" xfId="25" applyNumberFormat="1" applyFont="1" applyBorder="1" applyAlignment="1" applyProtection="1">
      <alignment horizontal="left" vertical="top" wrapText="1"/>
    </xf>
    <xf numFmtId="0" fontId="3" fillId="0" borderId="125" xfId="25" applyNumberFormat="1" applyFont="1" applyBorder="1" applyAlignment="1" applyProtection="1">
      <alignment horizontal="left" vertical="top"/>
    </xf>
    <xf numFmtId="0" fontId="3" fillId="0" borderId="223" xfId="25" applyNumberFormat="1" applyFont="1" applyBorder="1" applyAlignment="1" applyProtection="1">
      <alignment horizontal="left" vertical="top" wrapText="1"/>
    </xf>
    <xf numFmtId="0" fontId="3" fillId="0" borderId="220" xfId="25" applyNumberFormat="1" applyFont="1" applyBorder="1" applyAlignment="1" applyProtection="1">
      <alignment horizontal="left" vertical="top" wrapText="1"/>
    </xf>
    <xf numFmtId="0" fontId="8" fillId="0" borderId="1" xfId="0" applyFont="1" applyBorder="1" applyAlignment="1" applyProtection="1">
      <alignment horizontal="center"/>
    </xf>
    <xf numFmtId="0" fontId="46" fillId="0" borderId="1" xfId="0" applyNumberFormat="1" applyFont="1" applyBorder="1" applyAlignment="1" applyProtection="1">
      <alignment horizontal="center" vertical="center"/>
    </xf>
    <xf numFmtId="0" fontId="3" fillId="0" borderId="126" xfId="25" applyNumberFormat="1" applyFont="1" applyBorder="1" applyAlignment="1" applyProtection="1">
      <alignment horizontal="left" vertical="top"/>
    </xf>
    <xf numFmtId="0" fontId="3" fillId="0" borderId="127" xfId="25" applyNumberFormat="1" applyFont="1" applyBorder="1" applyAlignment="1" applyProtection="1">
      <alignment horizontal="left" vertical="top"/>
    </xf>
    <xf numFmtId="0" fontId="3" fillId="0" borderId="42" xfId="25" applyNumberFormat="1" applyFont="1" applyBorder="1" applyAlignment="1" applyProtection="1">
      <alignment horizontal="left" vertical="top"/>
    </xf>
    <xf numFmtId="0" fontId="3" fillId="0" borderId="0" xfId="25" applyNumberFormat="1" applyFont="1" applyBorder="1" applyAlignment="1" applyProtection="1">
      <alignment horizontal="left" vertical="top"/>
    </xf>
    <xf numFmtId="0" fontId="3" fillId="0" borderId="123" xfId="25" applyNumberFormat="1" applyFont="1" applyBorder="1" applyAlignment="1" applyProtection="1">
      <alignment horizontal="left" vertical="top"/>
    </xf>
    <xf numFmtId="0" fontId="3" fillId="0" borderId="124" xfId="25" applyNumberFormat="1" applyFont="1" applyBorder="1" applyAlignment="1" applyProtection="1">
      <alignment horizontal="left" vertical="top"/>
    </xf>
    <xf numFmtId="0" fontId="3" fillId="0" borderId="67" xfId="25" applyNumberFormat="1" applyFont="1" applyBorder="1" applyAlignment="1" applyProtection="1">
      <alignment horizontal="left" vertical="top"/>
    </xf>
    <xf numFmtId="0" fontId="3" fillId="0" borderId="72" xfId="25" applyNumberFormat="1" applyFont="1" applyBorder="1" applyAlignment="1" applyProtection="1">
      <alignment horizontal="left" vertical="top"/>
    </xf>
    <xf numFmtId="0" fontId="3" fillId="0" borderId="249" xfId="25" applyNumberFormat="1" applyFont="1" applyBorder="1" applyAlignment="1" applyProtection="1">
      <alignment vertical="center"/>
    </xf>
    <xf numFmtId="0" fontId="3" fillId="0" borderId="238" xfId="25" applyNumberFormat="1" applyFont="1" applyBorder="1" applyAlignment="1" applyProtection="1">
      <alignment vertical="center"/>
    </xf>
    <xf numFmtId="0" fontId="3" fillId="0" borderId="22" xfId="25" applyNumberFormat="1" applyFont="1" applyBorder="1" applyAlignment="1" applyProtection="1">
      <alignment vertical="center"/>
    </xf>
    <xf numFmtId="0" fontId="0" fillId="0" borderId="97" xfId="0" applyBorder="1" applyAlignment="1">
      <alignment vertical="center"/>
    </xf>
    <xf numFmtId="0" fontId="37" fillId="0" borderId="264" xfId="0" applyNumberFormat="1" applyFont="1" applyBorder="1" applyAlignment="1" applyProtection="1">
      <alignment horizontal="left" vertical="top"/>
    </xf>
    <xf numFmtId="0" fontId="37" fillId="0" borderId="242" xfId="0" applyNumberFormat="1" applyFont="1" applyBorder="1" applyAlignment="1" applyProtection="1">
      <alignment horizontal="left" vertical="top"/>
    </xf>
    <xf numFmtId="0" fontId="4" fillId="0" borderId="73" xfId="25" applyNumberFormat="1" applyFont="1" applyFill="1" applyBorder="1" applyAlignment="1" applyProtection="1">
      <alignment horizontal="left" vertical="top" wrapText="1"/>
    </xf>
    <xf numFmtId="0" fontId="4" fillId="0" borderId="140" xfId="25" applyNumberFormat="1" applyFont="1" applyFill="1" applyBorder="1" applyAlignment="1" applyProtection="1">
      <alignment horizontal="left" vertical="top" wrapText="1"/>
    </xf>
    <xf numFmtId="0" fontId="4" fillId="0" borderId="118" xfId="25" applyNumberFormat="1" applyFont="1" applyFill="1" applyBorder="1" applyAlignment="1" applyProtection="1">
      <alignment horizontal="left" vertical="top" wrapText="1"/>
    </xf>
    <xf numFmtId="0" fontId="46" fillId="0" borderId="10" xfId="0" applyNumberFormat="1" applyFont="1" applyBorder="1" applyAlignment="1" applyProtection="1">
      <alignment horizontal="center" vertical="center" wrapText="1"/>
    </xf>
    <xf numFmtId="0" fontId="46" fillId="0" borderId="3" xfId="0" applyNumberFormat="1" applyFont="1" applyBorder="1" applyAlignment="1" applyProtection="1">
      <alignment horizontal="center" vertical="center"/>
    </xf>
    <xf numFmtId="0" fontId="46" fillId="31" borderId="231" xfId="0" applyNumberFormat="1" applyFont="1" applyFill="1" applyBorder="1" applyAlignment="1">
      <alignment horizontal="center"/>
    </xf>
    <xf numFmtId="0" fontId="46" fillId="31" borderId="10" xfId="0" applyNumberFormat="1" applyFont="1" applyFill="1" applyBorder="1" applyAlignment="1">
      <alignment horizontal="center"/>
    </xf>
    <xf numFmtId="0" fontId="46" fillId="31" borderId="232" xfId="0" applyNumberFormat="1" applyFont="1" applyFill="1" applyBorder="1" applyAlignment="1">
      <alignment horizontal="center"/>
    </xf>
    <xf numFmtId="0" fontId="46" fillId="31" borderId="237" xfId="0" applyNumberFormat="1" applyFont="1" applyFill="1" applyBorder="1" applyAlignment="1">
      <alignment horizontal="center"/>
    </xf>
    <xf numFmtId="0" fontId="46" fillId="31" borderId="233" xfId="0" applyNumberFormat="1" applyFont="1" applyFill="1" applyBorder="1" applyAlignment="1">
      <alignment horizontal="center"/>
    </xf>
    <xf numFmtId="0" fontId="47" fillId="31" borderId="0" xfId="0" applyNumberFormat="1" applyFont="1" applyFill="1" applyBorder="1" applyAlignment="1">
      <alignment horizontal="center" vertical="top" wrapText="1"/>
    </xf>
    <xf numFmtId="0" fontId="47" fillId="31" borderId="47" xfId="0" applyNumberFormat="1" applyFont="1" applyFill="1" applyBorder="1" applyAlignment="1">
      <alignment horizontal="center" vertical="top" wrapText="1"/>
    </xf>
    <xf numFmtId="0" fontId="14" fillId="24" borderId="30" xfId="15" applyFont="1" applyFill="1" applyBorder="1" applyAlignment="1">
      <alignment horizontal="left" vertical="center" wrapText="1"/>
    </xf>
    <xf numFmtId="0" fontId="14" fillId="24" borderId="31" xfId="15" applyFont="1" applyFill="1" applyBorder="1" applyAlignment="1">
      <alignment horizontal="left" vertical="center" wrapText="1"/>
    </xf>
    <xf numFmtId="0" fontId="37" fillId="31" borderId="71" xfId="0" applyFont="1" applyFill="1" applyBorder="1" applyAlignment="1">
      <alignment horizontal="left" vertical="top" wrapText="1"/>
    </xf>
    <xf numFmtId="0" fontId="37" fillId="31" borderId="237" xfId="0" applyFont="1" applyFill="1" applyBorder="1" applyAlignment="1">
      <alignment horizontal="left" vertical="top" wrapText="1"/>
    </xf>
    <xf numFmtId="0" fontId="37" fillId="31" borderId="247" xfId="0" applyFont="1" applyFill="1" applyBorder="1" applyAlignment="1">
      <alignment horizontal="left" vertical="top" wrapText="1"/>
    </xf>
    <xf numFmtId="0" fontId="47" fillId="31" borderId="71" xfId="0" applyFont="1" applyFill="1" applyBorder="1" applyAlignment="1">
      <alignment horizontal="left" vertical="top" wrapText="1"/>
    </xf>
    <xf numFmtId="0" fontId="47" fillId="31" borderId="237" xfId="0" applyFont="1" applyFill="1" applyBorder="1" applyAlignment="1">
      <alignment horizontal="left" vertical="top" wrapText="1"/>
    </xf>
    <xf numFmtId="0" fontId="47" fillId="31" borderId="247" xfId="0" applyFont="1" applyFill="1" applyBorder="1" applyAlignment="1">
      <alignment horizontal="left" vertical="top" wrapText="1"/>
    </xf>
    <xf numFmtId="0" fontId="73" fillId="31" borderId="71" xfId="0" applyFont="1" applyFill="1" applyBorder="1" applyAlignment="1">
      <alignment horizontal="left" vertical="top" wrapText="1"/>
    </xf>
    <xf numFmtId="0" fontId="73" fillId="31" borderId="237" xfId="0" applyFont="1" applyFill="1" applyBorder="1" applyAlignment="1">
      <alignment horizontal="left" vertical="top" wrapText="1"/>
    </xf>
    <xf numFmtId="0" fontId="73" fillId="31" borderId="247" xfId="0" applyFont="1" applyFill="1" applyBorder="1" applyAlignment="1">
      <alignment horizontal="left" vertical="top" wrapText="1"/>
    </xf>
    <xf numFmtId="0" fontId="47" fillId="31" borderId="73" xfId="0" applyFont="1" applyFill="1" applyBorder="1" applyAlignment="1">
      <alignment horizontal="left" vertical="top" wrapText="1"/>
    </xf>
    <xf numFmtId="0" fontId="47" fillId="31" borderId="140" xfId="0" applyFont="1" applyFill="1" applyBorder="1" applyAlignment="1">
      <alignment horizontal="left" vertical="top" wrapText="1"/>
    </xf>
    <xf numFmtId="0" fontId="47" fillId="31" borderId="118" xfId="0" applyFont="1" applyFill="1" applyBorder="1" applyAlignment="1">
      <alignment horizontal="left" vertical="top" wrapText="1"/>
    </xf>
    <xf numFmtId="0" fontId="46" fillId="31" borderId="71" xfId="0" applyFont="1" applyFill="1" applyBorder="1" applyAlignment="1">
      <alignment horizontal="left" vertical="top"/>
    </xf>
    <xf numFmtId="0" fontId="46" fillId="31" borderId="237" xfId="0" applyFont="1" applyFill="1" applyBorder="1" applyAlignment="1">
      <alignment horizontal="left" vertical="top"/>
    </xf>
    <xf numFmtId="0" fontId="46" fillId="31" borderId="247" xfId="0" applyFont="1" applyFill="1" applyBorder="1" applyAlignment="1">
      <alignment horizontal="left" vertical="top"/>
    </xf>
    <xf numFmtId="0" fontId="37" fillId="31" borderId="37" xfId="0" applyFont="1" applyFill="1" applyBorder="1" applyAlignment="1">
      <alignment horizontal="left" vertical="top" wrapText="1"/>
    </xf>
    <xf numFmtId="0" fontId="37" fillId="31" borderId="120" xfId="0" applyFont="1" applyFill="1" applyBorder="1" applyAlignment="1">
      <alignment horizontal="left" vertical="top" wrapText="1"/>
    </xf>
    <xf numFmtId="0" fontId="37" fillId="31" borderId="38" xfId="0" applyFont="1" applyFill="1" applyBorder="1" applyAlignment="1">
      <alignment horizontal="left" vertical="top" wrapText="1"/>
    </xf>
    <xf numFmtId="0" fontId="14" fillId="24" borderId="30" xfId="15" applyNumberFormat="1" applyFont="1" applyFill="1" applyBorder="1" applyAlignment="1" applyProtection="1">
      <alignment horizontal="left" vertical="top" wrapText="1"/>
    </xf>
    <xf numFmtId="0" fontId="14" fillId="24" borderId="44" xfId="15" applyNumberFormat="1" applyFont="1" applyFill="1" applyBorder="1" applyAlignment="1" applyProtection="1">
      <alignment horizontal="left" vertical="top" wrapText="1"/>
    </xf>
    <xf numFmtId="0" fontId="14" fillId="24" borderId="31" xfId="15" applyNumberFormat="1" applyFont="1" applyFill="1" applyBorder="1" applyAlignment="1" applyProtection="1">
      <alignment horizontal="left" vertical="top" wrapText="1"/>
    </xf>
    <xf numFmtId="0" fontId="59" fillId="0" borderId="5" xfId="15" applyNumberFormat="1" applyFont="1" applyFill="1" applyBorder="1" applyAlignment="1" applyProtection="1">
      <alignment horizontal="left" vertical="top" wrapText="1"/>
    </xf>
    <xf numFmtId="0" fontId="59" fillId="0" borderId="6" xfId="15" applyNumberFormat="1" applyFont="1" applyFill="1" applyBorder="1" applyAlignment="1" applyProtection="1">
      <alignment horizontal="left" vertical="top" wrapText="1"/>
    </xf>
    <xf numFmtId="0" fontId="59" fillId="0" borderId="7" xfId="15" applyNumberFormat="1" applyFont="1" applyFill="1" applyBorder="1" applyAlignment="1" applyProtection="1">
      <alignment horizontal="left" vertical="top" wrapText="1"/>
    </xf>
    <xf numFmtId="0" fontId="14" fillId="0" borderId="3" xfId="15" applyNumberFormat="1" applyFont="1" applyFill="1" applyBorder="1" applyAlignment="1" applyProtection="1">
      <alignment horizontal="left" vertical="top" wrapText="1"/>
    </xf>
    <xf numFmtId="0" fontId="14" fillId="0" borderId="1" xfId="15" applyNumberFormat="1" applyFont="1" applyFill="1" applyBorder="1" applyAlignment="1" applyProtection="1">
      <alignment horizontal="left" vertical="top" wrapText="1"/>
    </xf>
    <xf numFmtId="0" fontId="14" fillId="0" borderId="10" xfId="15" applyNumberFormat="1" applyFont="1" applyFill="1" applyBorder="1" applyAlignment="1" applyProtection="1">
      <alignment horizontal="left" vertical="top" wrapText="1"/>
    </xf>
    <xf numFmtId="0" fontId="46" fillId="0" borderId="23" xfId="0" applyNumberFormat="1" applyFont="1" applyBorder="1" applyAlignment="1" applyProtection="1">
      <alignment horizontal="center" vertical="center"/>
    </xf>
    <xf numFmtId="0" fontId="46" fillId="0" borderId="5" xfId="0" applyNumberFormat="1" applyFont="1" applyBorder="1" applyAlignment="1" applyProtection="1">
      <alignment horizontal="center" vertical="center"/>
    </xf>
    <xf numFmtId="0" fontId="46" fillId="0" borderId="65" xfId="0" applyNumberFormat="1" applyFont="1" applyBorder="1" applyAlignment="1" applyProtection="1">
      <alignment horizontal="center" vertical="center"/>
    </xf>
    <xf numFmtId="0" fontId="46" fillId="0" borderId="49" xfId="0" applyNumberFormat="1" applyFont="1" applyBorder="1" applyAlignment="1" applyProtection="1">
      <alignment horizontal="center" vertical="center"/>
    </xf>
    <xf numFmtId="0" fontId="46" fillId="0" borderId="1" xfId="0" applyNumberFormat="1" applyFont="1" applyBorder="1" applyAlignment="1" applyProtection="1">
      <alignment horizontal="center" vertical="center" wrapText="1"/>
    </xf>
    <xf numFmtId="0" fontId="59" fillId="0" borderId="37" xfId="15" applyNumberFormat="1" applyFont="1" applyFill="1" applyBorder="1" applyAlignment="1" applyProtection="1">
      <alignment horizontal="left" vertical="top" wrapText="1"/>
    </xf>
    <xf numFmtId="0" fontId="59" fillId="0" borderId="120" xfId="15" applyNumberFormat="1" applyFont="1" applyFill="1" applyBorder="1" applyAlignment="1" applyProtection="1">
      <alignment horizontal="left" vertical="top" wrapText="1"/>
    </xf>
    <xf numFmtId="0" fontId="59" fillId="0" borderId="38" xfId="15" applyNumberFormat="1" applyFont="1" applyFill="1" applyBorder="1" applyAlignment="1" applyProtection="1">
      <alignment horizontal="left" vertical="top" wrapText="1"/>
    </xf>
    <xf numFmtId="0" fontId="59" fillId="0" borderId="71" xfId="15" applyNumberFormat="1" applyFont="1" applyFill="1" applyBorder="1" applyAlignment="1" applyProtection="1">
      <alignment horizontal="left" vertical="top" wrapText="1"/>
    </xf>
    <xf numFmtId="0" fontId="59" fillId="0" borderId="66" xfId="15" applyNumberFormat="1" applyFont="1" applyFill="1" applyBorder="1" applyAlignment="1" applyProtection="1">
      <alignment horizontal="left" vertical="top" wrapText="1"/>
    </xf>
    <xf numFmtId="0" fontId="59" fillId="0" borderId="45" xfId="15" applyNumberFormat="1" applyFont="1" applyFill="1" applyBorder="1" applyAlignment="1" applyProtection="1">
      <alignment horizontal="left" vertical="top" wrapText="1"/>
    </xf>
    <xf numFmtId="0" fontId="4" fillId="0" borderId="37" xfId="0" applyFont="1" applyBorder="1" applyAlignment="1" applyProtection="1">
      <alignment horizontal="left" vertical="top" wrapText="1"/>
    </xf>
    <xf numFmtId="0" fontId="4" fillId="0" borderId="120" xfId="0" applyFont="1" applyBorder="1" applyAlignment="1" applyProtection="1">
      <alignment horizontal="left" vertical="top" wrapText="1"/>
    </xf>
    <xf numFmtId="0" fontId="4" fillId="0" borderId="38" xfId="0" applyFont="1" applyBorder="1" applyAlignment="1" applyProtection="1">
      <alignment horizontal="left" vertical="top" wrapText="1"/>
    </xf>
    <xf numFmtId="0" fontId="59" fillId="0" borderId="73" xfId="15" applyNumberFormat="1" applyFont="1" applyFill="1" applyBorder="1" applyAlignment="1" applyProtection="1">
      <alignment horizontal="left" vertical="top" wrapText="1"/>
    </xf>
    <xf numFmtId="0" fontId="59" fillId="0" borderId="140" xfId="15" applyNumberFormat="1" applyFont="1" applyFill="1" applyBorder="1" applyAlignment="1" applyProtection="1">
      <alignment horizontal="left" vertical="top" wrapText="1"/>
    </xf>
    <xf numFmtId="0" fontId="59" fillId="0" borderId="118" xfId="15" applyNumberFormat="1" applyFont="1" applyFill="1" applyBorder="1" applyAlignment="1" applyProtection="1">
      <alignment horizontal="left" vertical="top" wrapText="1"/>
    </xf>
    <xf numFmtId="0" fontId="6" fillId="0" borderId="37" xfId="15" applyNumberFormat="1" applyFont="1" applyFill="1" applyBorder="1" applyAlignment="1" applyProtection="1">
      <alignment horizontal="left" vertical="top" wrapText="1"/>
    </xf>
    <xf numFmtId="0" fontId="6" fillId="0" borderId="120" xfId="15" applyNumberFormat="1" applyFont="1" applyFill="1" applyBorder="1" applyAlignment="1" applyProtection="1">
      <alignment horizontal="left" vertical="top" wrapText="1"/>
    </xf>
    <xf numFmtId="0" fontId="6" fillId="0" borderId="38" xfId="15" applyNumberFormat="1" applyFont="1" applyFill="1" applyBorder="1" applyAlignment="1" applyProtection="1">
      <alignment horizontal="left" vertical="top" wrapText="1"/>
    </xf>
    <xf numFmtId="0" fontId="13" fillId="0" borderId="30" xfId="15" applyNumberFormat="1" applyFont="1" applyFill="1" applyBorder="1" applyAlignment="1" applyProtection="1">
      <alignment horizontal="left" vertical="top" wrapText="1"/>
    </xf>
    <xf numFmtId="0" fontId="13" fillId="0" borderId="44" xfId="15" applyNumberFormat="1" applyFont="1" applyFill="1" applyBorder="1" applyAlignment="1" applyProtection="1">
      <alignment horizontal="left" vertical="top" wrapText="1"/>
    </xf>
    <xf numFmtId="0" fontId="13" fillId="0" borderId="31" xfId="15" applyNumberFormat="1" applyFont="1" applyFill="1" applyBorder="1" applyAlignment="1" applyProtection="1">
      <alignment horizontal="left" vertical="top" wrapText="1"/>
    </xf>
    <xf numFmtId="0" fontId="14" fillId="24" borderId="18" xfId="15" applyNumberFormat="1" applyFont="1" applyFill="1" applyBorder="1" applyAlignment="1" applyProtection="1">
      <alignment horizontal="left" vertical="top" wrapText="1"/>
    </xf>
    <xf numFmtId="0" fontId="14" fillId="24" borderId="17" xfId="15" applyNumberFormat="1" applyFont="1" applyFill="1" applyBorder="1" applyAlignment="1" applyProtection="1">
      <alignment horizontal="left" vertical="top" wrapText="1"/>
    </xf>
    <xf numFmtId="0" fontId="14" fillId="24" borderId="25" xfId="15" applyNumberFormat="1" applyFont="1" applyFill="1" applyBorder="1" applyAlignment="1" applyProtection="1">
      <alignment horizontal="left" vertical="top" wrapText="1"/>
    </xf>
    <xf numFmtId="0" fontId="56" fillId="0" borderId="3" xfId="0" applyFont="1" applyBorder="1" applyAlignment="1" applyProtection="1">
      <alignment horizontal="left" vertical="top" wrapText="1"/>
    </xf>
    <xf numFmtId="0" fontId="27" fillId="0" borderId="1" xfId="0" applyFont="1" applyBorder="1" applyAlignment="1" applyProtection="1">
      <alignment horizontal="left" vertical="top" wrapText="1"/>
    </xf>
    <xf numFmtId="0" fontId="27" fillId="0" borderId="65" xfId="0" applyFont="1" applyBorder="1" applyAlignment="1" applyProtection="1">
      <alignment horizontal="left" vertical="top" wrapText="1"/>
    </xf>
    <xf numFmtId="0" fontId="47" fillId="0" borderId="71" xfId="0" applyNumberFormat="1" applyFont="1" applyBorder="1" applyAlignment="1" applyProtection="1">
      <alignment horizontal="left" vertical="top" wrapText="1"/>
    </xf>
    <xf numFmtId="0" fontId="47" fillId="0" borderId="66" xfId="0" applyNumberFormat="1" applyFont="1" applyBorder="1" applyAlignment="1" applyProtection="1">
      <alignment horizontal="left" vertical="top" wrapText="1"/>
    </xf>
    <xf numFmtId="0" fontId="47" fillId="0" borderId="45" xfId="0" applyNumberFormat="1" applyFont="1" applyBorder="1" applyAlignment="1" applyProtection="1">
      <alignment horizontal="left" vertical="top" wrapText="1"/>
    </xf>
    <xf numFmtId="0" fontId="4" fillId="0" borderId="30" xfId="0" applyFont="1" applyBorder="1" applyAlignment="1" applyProtection="1">
      <alignment horizontal="left" vertical="top" wrapText="1"/>
    </xf>
    <xf numFmtId="0" fontId="4" fillId="0" borderId="44" xfId="0" applyFont="1" applyBorder="1" applyAlignment="1" applyProtection="1">
      <alignment horizontal="left" vertical="top" wrapText="1"/>
    </xf>
    <xf numFmtId="0" fontId="4" fillId="0" borderId="31" xfId="0" applyFont="1" applyBorder="1" applyAlignment="1" applyProtection="1">
      <alignment horizontal="left" vertical="top" wrapText="1"/>
    </xf>
    <xf numFmtId="0" fontId="37" fillId="0" borderId="71" xfId="0" applyNumberFormat="1" applyFont="1" applyBorder="1" applyAlignment="1" applyProtection="1">
      <alignment horizontal="left" vertical="top" wrapText="1"/>
    </xf>
    <xf numFmtId="0" fontId="37" fillId="0" borderId="66" xfId="0" applyNumberFormat="1" applyFont="1" applyBorder="1" applyAlignment="1" applyProtection="1">
      <alignment horizontal="left" vertical="top" wrapText="1"/>
    </xf>
    <xf numFmtId="0" fontId="37" fillId="0" borderId="45" xfId="0" applyNumberFormat="1" applyFont="1" applyBorder="1" applyAlignment="1" applyProtection="1">
      <alignment horizontal="left" vertical="top" wrapText="1"/>
    </xf>
    <xf numFmtId="0" fontId="46" fillId="0" borderId="73" xfId="0" applyNumberFormat="1" applyFont="1" applyBorder="1" applyAlignment="1" applyProtection="1">
      <alignment horizontal="left" vertical="top"/>
    </xf>
    <xf numFmtId="0" fontId="46" fillId="0" borderId="140" xfId="0" applyNumberFormat="1" applyFont="1" applyBorder="1" applyAlignment="1" applyProtection="1">
      <alignment horizontal="left" vertical="top"/>
    </xf>
    <xf numFmtId="0" fontId="46" fillId="0" borderId="118" xfId="0" applyNumberFormat="1" applyFont="1" applyBorder="1" applyAlignment="1" applyProtection="1">
      <alignment horizontal="left" vertical="top"/>
    </xf>
    <xf numFmtId="0" fontId="46" fillId="0" borderId="67" xfId="0" applyNumberFormat="1" applyFont="1" applyBorder="1" applyAlignment="1" applyProtection="1">
      <alignment horizontal="left" vertical="top"/>
    </xf>
    <xf numFmtId="0" fontId="46" fillId="0" borderId="72" xfId="0" applyNumberFormat="1" applyFont="1" applyBorder="1" applyAlignment="1" applyProtection="1">
      <alignment horizontal="left" vertical="top"/>
    </xf>
    <xf numFmtId="0" fontId="4" fillId="0" borderId="71" xfId="0" applyFont="1" applyBorder="1" applyAlignment="1" applyProtection="1">
      <alignment horizontal="left" vertical="top" wrapText="1"/>
    </xf>
    <xf numFmtId="0" fontId="4" fillId="0" borderId="66" xfId="0" applyFont="1" applyBorder="1" applyAlignment="1" applyProtection="1">
      <alignment horizontal="left" vertical="top" wrapText="1"/>
    </xf>
    <xf numFmtId="0" fontId="4" fillId="0" borderId="45" xfId="0" applyFont="1" applyBorder="1" applyAlignment="1" applyProtection="1">
      <alignment horizontal="left" vertical="top" wrapText="1"/>
    </xf>
    <xf numFmtId="0" fontId="4" fillId="0" borderId="73" xfId="0" applyFont="1" applyBorder="1" applyAlignment="1" applyProtection="1">
      <alignment horizontal="left" vertical="top" wrapText="1"/>
    </xf>
    <xf numFmtId="0" fontId="4" fillId="0" borderId="140" xfId="0" applyFont="1" applyBorder="1" applyAlignment="1" applyProtection="1">
      <alignment horizontal="left" vertical="top" wrapText="1"/>
    </xf>
    <xf numFmtId="0" fontId="4" fillId="0" borderId="118" xfId="0" applyFont="1" applyBorder="1" applyAlignment="1" applyProtection="1">
      <alignment horizontal="left" vertical="top" wrapText="1"/>
    </xf>
    <xf numFmtId="0" fontId="4" fillId="0" borderId="73" xfId="0" applyNumberFormat="1" applyFont="1" applyBorder="1" applyAlignment="1" applyProtection="1">
      <alignment horizontal="left" vertical="top" wrapText="1"/>
    </xf>
    <xf numFmtId="0" fontId="4" fillId="0" borderId="140" xfId="0" applyNumberFormat="1" applyFont="1" applyBorder="1" applyAlignment="1" applyProtection="1">
      <alignment horizontal="left" vertical="top" wrapText="1"/>
    </xf>
    <xf numFmtId="0" fontId="4" fillId="0" borderId="118" xfId="0" applyNumberFormat="1" applyFont="1" applyBorder="1" applyAlignment="1" applyProtection="1">
      <alignment horizontal="left" vertical="top" wrapText="1"/>
    </xf>
    <xf numFmtId="0" fontId="4" fillId="0" borderId="71" xfId="0" applyNumberFormat="1" applyFont="1" applyBorder="1" applyAlignment="1" applyProtection="1">
      <alignment horizontal="left" vertical="top" wrapText="1"/>
    </xf>
    <xf numFmtId="0" fontId="4" fillId="0" borderId="66" xfId="0" applyNumberFormat="1" applyFont="1" applyBorder="1" applyAlignment="1" applyProtection="1">
      <alignment horizontal="left" vertical="top" wrapText="1"/>
    </xf>
    <xf numFmtId="0" fontId="4" fillId="0" borderId="45" xfId="0" applyNumberFormat="1" applyFont="1" applyBorder="1" applyAlignment="1" applyProtection="1">
      <alignment horizontal="left" vertical="top" wrapText="1"/>
    </xf>
    <xf numFmtId="0" fontId="46" fillId="0" borderId="71" xfId="0" applyNumberFormat="1" applyFont="1" applyBorder="1" applyAlignment="1" applyProtection="1">
      <alignment horizontal="left" vertical="top"/>
    </xf>
    <xf numFmtId="0" fontId="46" fillId="0" borderId="66" xfId="0" applyNumberFormat="1" applyFont="1" applyBorder="1" applyAlignment="1" applyProtection="1">
      <alignment horizontal="left" vertical="top"/>
    </xf>
    <xf numFmtId="0" fontId="46" fillId="0" borderId="45" xfId="0" applyNumberFormat="1" applyFont="1" applyBorder="1" applyAlignment="1" applyProtection="1">
      <alignment horizontal="left" vertical="top"/>
    </xf>
    <xf numFmtId="0" fontId="56" fillId="0" borderId="1" xfId="0" applyFont="1" applyBorder="1" applyAlignment="1" applyProtection="1">
      <alignment horizontal="left" vertical="top" wrapText="1"/>
    </xf>
    <xf numFmtId="0" fontId="46" fillId="0" borderId="103" xfId="0" applyNumberFormat="1" applyFont="1" applyBorder="1" applyAlignment="1" applyProtection="1">
      <alignment horizontal="center" vertical="center"/>
    </xf>
    <xf numFmtId="0" fontId="46" fillId="0" borderId="130" xfId="0" applyNumberFormat="1" applyFont="1" applyBorder="1" applyAlignment="1" applyProtection="1">
      <alignment horizontal="center" vertical="center"/>
    </xf>
    <xf numFmtId="0" fontId="8" fillId="0" borderId="6" xfId="0" applyFont="1" applyBorder="1" applyAlignment="1" applyProtection="1">
      <alignment horizontal="center"/>
    </xf>
    <xf numFmtId="0" fontId="46" fillId="0" borderId="6" xfId="0" applyNumberFormat="1" applyFont="1" applyBorder="1" applyAlignment="1" applyProtection="1">
      <alignment horizontal="center" vertical="center"/>
    </xf>
    <xf numFmtId="0" fontId="46" fillId="0" borderId="6" xfId="0" applyNumberFormat="1" applyFont="1" applyBorder="1" applyAlignment="1" applyProtection="1">
      <alignment horizontal="center" vertical="center" wrapText="1"/>
    </xf>
    <xf numFmtId="0" fontId="4" fillId="0" borderId="30" xfId="0" applyNumberFormat="1" applyFont="1" applyBorder="1" applyAlignment="1" applyProtection="1">
      <alignment horizontal="left" vertical="top" wrapText="1"/>
    </xf>
    <xf numFmtId="0" fontId="4" fillId="0" borderId="44" xfId="0" applyNumberFormat="1" applyFont="1" applyBorder="1" applyAlignment="1" applyProtection="1">
      <alignment horizontal="left" vertical="top" wrapText="1"/>
    </xf>
    <xf numFmtId="0" fontId="4" fillId="0" borderId="31" xfId="0" applyNumberFormat="1" applyFont="1" applyBorder="1" applyAlignment="1" applyProtection="1">
      <alignment horizontal="left" vertical="top" wrapText="1"/>
    </xf>
    <xf numFmtId="0" fontId="4" fillId="0" borderId="37" xfId="0" applyNumberFormat="1" applyFont="1" applyBorder="1" applyAlignment="1" applyProtection="1">
      <alignment horizontal="left" vertical="top" wrapText="1"/>
    </xf>
    <xf numFmtId="0" fontId="4" fillId="0" borderId="120" xfId="0" applyNumberFormat="1" applyFont="1" applyBorder="1" applyAlignment="1" applyProtection="1">
      <alignment horizontal="left" vertical="top" wrapText="1"/>
    </xf>
    <xf numFmtId="0" fontId="4" fillId="0" borderId="38" xfId="0" applyNumberFormat="1" applyFont="1" applyBorder="1" applyAlignment="1" applyProtection="1">
      <alignment horizontal="left" vertical="top" wrapText="1"/>
    </xf>
    <xf numFmtId="0" fontId="14" fillId="24" borderId="22" xfId="15" applyNumberFormat="1" applyFont="1" applyFill="1" applyBorder="1" applyAlignment="1" applyProtection="1">
      <alignment horizontal="left" vertical="top" wrapText="1"/>
    </xf>
    <xf numFmtId="0" fontId="14" fillId="24" borderId="20" xfId="15" applyNumberFormat="1" applyFont="1" applyFill="1" applyBorder="1" applyAlignment="1" applyProtection="1">
      <alignment horizontal="left" vertical="top" wrapText="1"/>
    </xf>
    <xf numFmtId="0" fontId="14" fillId="24" borderId="54" xfId="15" applyNumberFormat="1" applyFont="1" applyFill="1" applyBorder="1" applyAlignment="1" applyProtection="1">
      <alignment horizontal="left" vertical="top" wrapText="1"/>
    </xf>
    <xf numFmtId="0" fontId="46" fillId="0" borderId="37" xfId="0" applyNumberFormat="1" applyFont="1" applyBorder="1" applyAlignment="1" applyProtection="1">
      <alignment horizontal="left" vertical="top"/>
    </xf>
    <xf numFmtId="0" fontId="46" fillId="0" borderId="120" xfId="0" applyNumberFormat="1" applyFont="1" applyBorder="1" applyAlignment="1" applyProtection="1">
      <alignment horizontal="left" vertical="top"/>
    </xf>
    <xf numFmtId="0" fontId="46" fillId="0" borderId="38" xfId="0" applyNumberFormat="1" applyFont="1" applyBorder="1" applyAlignment="1" applyProtection="1">
      <alignment horizontal="left" vertical="top"/>
    </xf>
    <xf numFmtId="0" fontId="47" fillId="0" borderId="237" xfId="0" applyNumberFormat="1" applyFont="1" applyBorder="1" applyAlignment="1" applyProtection="1">
      <alignment horizontal="left" vertical="top" wrapText="1"/>
    </xf>
    <xf numFmtId="0" fontId="37" fillId="0" borderId="237" xfId="0" applyNumberFormat="1" applyFont="1" applyBorder="1" applyAlignment="1" applyProtection="1">
      <alignment horizontal="left" vertical="top" wrapText="1"/>
    </xf>
    <xf numFmtId="0" fontId="46" fillId="0" borderId="42" xfId="0" applyNumberFormat="1" applyFont="1" applyBorder="1" applyAlignment="1" applyProtection="1">
      <alignment horizontal="left" vertical="top"/>
    </xf>
    <xf numFmtId="0" fontId="46" fillId="0" borderId="0" xfId="0" applyNumberFormat="1" applyFont="1" applyBorder="1" applyAlignment="1" applyProtection="1">
      <alignment horizontal="left" vertical="top"/>
    </xf>
    <xf numFmtId="0" fontId="46" fillId="0" borderId="237" xfId="0" applyNumberFormat="1" applyFont="1" applyBorder="1" applyAlignment="1" applyProtection="1">
      <alignment horizontal="left" vertical="top"/>
    </xf>
    <xf numFmtId="0" fontId="59" fillId="0" borderId="13" xfId="15" applyNumberFormat="1" applyFont="1" applyFill="1" applyBorder="1" applyAlignment="1" applyProtection="1">
      <alignment horizontal="left" vertical="top" wrapText="1"/>
    </xf>
    <xf numFmtId="0" fontId="59" fillId="0" borderId="14" xfId="15" applyNumberFormat="1" applyFont="1" applyFill="1" applyBorder="1" applyAlignment="1" applyProtection="1">
      <alignment horizontal="left" vertical="top" wrapText="1"/>
    </xf>
    <xf numFmtId="0" fontId="59" fillId="0" borderId="15" xfId="15" applyNumberFormat="1" applyFont="1" applyFill="1" applyBorder="1" applyAlignment="1" applyProtection="1">
      <alignment horizontal="left" vertical="top" wrapText="1"/>
    </xf>
    <xf numFmtId="0" fontId="8" fillId="0" borderId="8" xfId="0" applyFont="1" applyBorder="1" applyAlignment="1" applyProtection="1">
      <alignment horizontal="center" vertical="center"/>
    </xf>
    <xf numFmtId="0" fontId="8" fillId="0" borderId="172" xfId="0" applyFont="1" applyBorder="1" applyAlignment="1" applyProtection="1">
      <alignment horizontal="center" vertical="center"/>
    </xf>
    <xf numFmtId="0" fontId="46" fillId="0" borderId="1" xfId="0" applyFont="1" applyBorder="1" applyAlignment="1">
      <alignment horizontal="center"/>
    </xf>
    <xf numFmtId="0" fontId="46" fillId="0" borderId="10" xfId="0" applyFont="1" applyBorder="1" applyAlignment="1">
      <alignment horizontal="center"/>
    </xf>
    <xf numFmtId="0" fontId="37" fillId="0" borderId="42" xfId="0" applyFont="1" applyBorder="1" applyAlignment="1">
      <alignment horizontal="left" vertical="top" wrapText="1"/>
    </xf>
    <xf numFmtId="0" fontId="37" fillId="0" borderId="0" xfId="0" applyFont="1" applyBorder="1" applyAlignment="1">
      <alignment horizontal="left" vertical="top" wrapText="1"/>
    </xf>
    <xf numFmtId="0" fontId="37" fillId="0" borderId="47" xfId="0" applyFont="1" applyBorder="1" applyAlignment="1">
      <alignment horizontal="left" vertical="top" wrapText="1"/>
    </xf>
    <xf numFmtId="0" fontId="46" fillId="0" borderId="74" xfId="0" applyFont="1" applyBorder="1" applyAlignment="1">
      <alignment horizontal="center" vertical="center"/>
    </xf>
    <xf numFmtId="0" fontId="46" fillId="0" borderId="120" xfId="0" applyFont="1" applyBorder="1" applyAlignment="1">
      <alignment horizontal="center" vertical="center"/>
    </xf>
    <xf numFmtId="0" fontId="46" fillId="0" borderId="38" xfId="0" applyFont="1" applyBorder="1" applyAlignment="1">
      <alignment horizontal="center" vertical="center"/>
    </xf>
    <xf numFmtId="0" fontId="3" fillId="0" borderId="65" xfId="0" applyFont="1" applyBorder="1" applyAlignment="1" applyProtection="1">
      <alignment horizontal="left" vertical="center"/>
    </xf>
    <xf numFmtId="0" fontId="3" fillId="0" borderId="66" xfId="0" applyFont="1" applyBorder="1" applyAlignment="1" applyProtection="1">
      <alignment horizontal="left" vertical="center"/>
    </xf>
    <xf numFmtId="0" fontId="3" fillId="0" borderId="45" xfId="0" applyFont="1" applyBorder="1" applyAlignment="1" applyProtection="1">
      <alignment horizontal="left" vertical="center"/>
    </xf>
    <xf numFmtId="0" fontId="3" fillId="0" borderId="1" xfId="0" applyFont="1" applyBorder="1" applyAlignment="1" applyProtection="1">
      <alignment horizontal="left" vertical="center"/>
    </xf>
    <xf numFmtId="0" fontId="3" fillId="0" borderId="10" xfId="0" applyFont="1" applyBorder="1" applyAlignment="1" applyProtection="1">
      <alignment horizontal="left" vertical="center"/>
    </xf>
    <xf numFmtId="0" fontId="3" fillId="0" borderId="1" xfId="25" applyNumberFormat="1" applyFont="1" applyBorder="1" applyAlignment="1" applyProtection="1">
      <alignment horizontal="left" vertical="top" wrapText="1"/>
    </xf>
    <xf numFmtId="0" fontId="3" fillId="0" borderId="10" xfId="25" applyNumberFormat="1" applyFont="1" applyBorder="1" applyAlignment="1" applyProtection="1">
      <alignment horizontal="left" vertical="top" wrapText="1"/>
    </xf>
    <xf numFmtId="0" fontId="3" fillId="0" borderId="11" xfId="0" applyFont="1" applyBorder="1" applyAlignment="1" applyProtection="1">
      <alignment horizontal="left" vertical="center"/>
    </xf>
    <xf numFmtId="0" fontId="3" fillId="0" borderId="12" xfId="0" applyFont="1" applyBorder="1" applyAlignment="1" applyProtection="1">
      <alignment horizontal="left" vertical="center"/>
    </xf>
    <xf numFmtId="0" fontId="13" fillId="19" borderId="30" xfId="15" applyFont="1" applyBorder="1" applyAlignment="1">
      <alignment horizontal="left" vertical="center"/>
    </xf>
    <xf numFmtId="0" fontId="13" fillId="19" borderId="31" xfId="15" applyFont="1" applyBorder="1" applyAlignment="1">
      <alignment horizontal="left" vertical="center"/>
    </xf>
    <xf numFmtId="0" fontId="8" fillId="0" borderId="9" xfId="0" applyFont="1" applyBorder="1" applyAlignment="1" applyProtection="1">
      <alignment horizontal="center" vertical="center" wrapText="1"/>
    </xf>
    <xf numFmtId="0" fontId="8" fillId="0" borderId="99" xfId="0" applyFont="1" applyBorder="1" applyAlignment="1" applyProtection="1">
      <alignment horizontal="center" vertical="center" wrapText="1"/>
    </xf>
    <xf numFmtId="0" fontId="8" fillId="0" borderId="63" xfId="0" applyFont="1" applyBorder="1" applyAlignment="1" applyProtection="1">
      <alignment horizontal="center" vertical="center"/>
    </xf>
    <xf numFmtId="0" fontId="8" fillId="0" borderId="77" xfId="0" applyFont="1" applyBorder="1" applyAlignment="1" applyProtection="1">
      <alignment horizontal="center" vertical="center"/>
    </xf>
    <xf numFmtId="0" fontId="8" fillId="0" borderId="14" xfId="0" applyFont="1" applyBorder="1" applyAlignment="1" applyProtection="1">
      <alignment horizontal="left" vertical="top" wrapText="1"/>
    </xf>
    <xf numFmtId="0" fontId="8" fillId="0" borderId="62" xfId="0" applyFont="1" applyBorder="1" applyAlignment="1" applyProtection="1">
      <alignment horizontal="left" vertical="top" wrapText="1"/>
    </xf>
    <xf numFmtId="0" fontId="3" fillId="0" borderId="0" xfId="28" applyFont="1" applyFill="1" applyBorder="1" applyAlignment="1" applyProtection="1">
      <alignment horizontal="left" wrapText="1"/>
    </xf>
    <xf numFmtId="0" fontId="21" fillId="0" borderId="0" xfId="16" applyFont="1" applyAlignment="1" applyProtection="1">
      <alignment horizontal="center" vertical="center"/>
      <protection locked="0"/>
    </xf>
    <xf numFmtId="0" fontId="8" fillId="0" borderId="63" xfId="0" applyFont="1" applyBorder="1" applyAlignment="1" applyProtection="1">
      <alignment horizontal="center" vertical="center" wrapText="1"/>
    </xf>
    <xf numFmtId="0" fontId="8" fillId="0" borderId="77" xfId="0" applyFont="1" applyBorder="1" applyAlignment="1" applyProtection="1">
      <alignment horizontal="center" vertical="center" wrapText="1"/>
    </xf>
    <xf numFmtId="0" fontId="3" fillId="0" borderId="1" xfId="0" applyFont="1" applyBorder="1" applyAlignment="1" applyProtection="1">
      <alignment horizontal="left" vertical="center" wrapText="1"/>
    </xf>
    <xf numFmtId="0" fontId="3" fillId="0" borderId="10" xfId="0" applyFont="1" applyBorder="1" applyAlignment="1" applyProtection="1">
      <alignment horizontal="left" vertical="center" wrapText="1"/>
    </xf>
    <xf numFmtId="0" fontId="8" fillId="24" borderId="37" xfId="0" applyFont="1" applyFill="1" applyBorder="1" applyAlignment="1" applyProtection="1">
      <alignment horizontal="left" vertical="top" wrapText="1"/>
    </xf>
    <xf numFmtId="0" fontId="8" fillId="24" borderId="120" xfId="0" applyFont="1" applyFill="1" applyBorder="1" applyAlignment="1" applyProtection="1">
      <alignment horizontal="left" vertical="top" wrapText="1"/>
    </xf>
    <xf numFmtId="0" fontId="8" fillId="24" borderId="38" xfId="0" applyFont="1" applyFill="1" applyBorder="1" applyAlignment="1" applyProtection="1">
      <alignment horizontal="left" vertical="top" wrapText="1"/>
    </xf>
    <xf numFmtId="0" fontId="46" fillId="0" borderId="14" xfId="0" applyFont="1" applyBorder="1" applyAlignment="1">
      <alignment horizontal="center" vertical="center"/>
    </xf>
    <xf numFmtId="0" fontId="46" fillId="0" borderId="15" xfId="0" applyFont="1" applyBorder="1" applyAlignment="1">
      <alignment horizontal="center" vertical="center"/>
    </xf>
    <xf numFmtId="0" fontId="14" fillId="19" borderId="30" xfId="15" applyFont="1" applyBorder="1" applyAlignment="1" applyProtection="1">
      <alignment horizontal="left" vertical="center"/>
    </xf>
    <xf numFmtId="0" fontId="14" fillId="19" borderId="31" xfId="15" applyFont="1" applyBorder="1" applyAlignment="1" applyProtection="1">
      <alignment horizontal="left" vertical="center"/>
    </xf>
    <xf numFmtId="0" fontId="3" fillId="5" borderId="42" xfId="25" applyFont="1" applyFill="1" applyBorder="1" applyAlignment="1" applyProtection="1">
      <alignment horizontal="left" vertical="top" wrapText="1"/>
      <protection locked="0"/>
    </xf>
    <xf numFmtId="0" fontId="3" fillId="5" borderId="0" xfId="25" applyFont="1" applyFill="1" applyBorder="1" applyAlignment="1" applyProtection="1">
      <alignment horizontal="left" vertical="top" wrapText="1"/>
      <protection locked="0"/>
    </xf>
    <xf numFmtId="0" fontId="3" fillId="5" borderId="47" xfId="25" applyFont="1" applyFill="1" applyBorder="1" applyAlignment="1" applyProtection="1">
      <alignment horizontal="left" vertical="top" wrapText="1"/>
      <protection locked="0"/>
    </xf>
    <xf numFmtId="0" fontId="3" fillId="5" borderId="22" xfId="25" applyFont="1" applyFill="1" applyBorder="1" applyAlignment="1" applyProtection="1">
      <alignment horizontal="left" vertical="top" wrapText="1"/>
      <protection locked="0"/>
    </xf>
    <xf numFmtId="0" fontId="3" fillId="5" borderId="20" xfId="25" applyFont="1" applyFill="1" applyBorder="1" applyAlignment="1" applyProtection="1">
      <alignment horizontal="left" vertical="top" wrapText="1"/>
      <protection locked="0"/>
    </xf>
    <xf numFmtId="0" fontId="3" fillId="5" borderId="54" xfId="25" applyFont="1" applyFill="1" applyBorder="1" applyAlignment="1" applyProtection="1">
      <alignment horizontal="left" vertical="top" wrapText="1"/>
      <protection locked="0"/>
    </xf>
    <xf numFmtId="0" fontId="21" fillId="0" borderId="0" xfId="16" applyFont="1" applyAlignment="1" applyProtection="1">
      <alignment horizontal="left" vertical="center"/>
      <protection locked="0"/>
    </xf>
    <xf numFmtId="0" fontId="17" fillId="0" borderId="0" xfId="28" applyFont="1" applyFill="1" applyBorder="1" applyAlignment="1" applyProtection="1">
      <alignment horizontal="left" vertical="center" wrapText="1"/>
    </xf>
    <xf numFmtId="0" fontId="3" fillId="5" borderId="260" xfId="25" applyFont="1" applyFill="1" applyBorder="1" applyAlignment="1" applyProtection="1">
      <alignment horizontal="left" vertical="top" wrapText="1"/>
      <protection locked="0"/>
    </xf>
    <xf numFmtId="0" fontId="3" fillId="5" borderId="261" xfId="25" applyFont="1" applyFill="1" applyBorder="1" applyAlignment="1" applyProtection="1">
      <alignment horizontal="left" vertical="top" wrapText="1"/>
      <protection locked="0"/>
    </xf>
    <xf numFmtId="0" fontId="3" fillId="5" borderId="262" xfId="25" applyFont="1" applyFill="1" applyBorder="1" applyAlignment="1" applyProtection="1">
      <alignment horizontal="left" vertical="top" wrapText="1"/>
      <protection locked="0"/>
    </xf>
    <xf numFmtId="0" fontId="3" fillId="5" borderId="73" xfId="25" applyFont="1" applyFill="1" applyBorder="1" applyAlignment="1" applyProtection="1">
      <alignment horizontal="left" vertical="top" wrapText="1"/>
      <protection locked="0"/>
    </xf>
    <xf numFmtId="0" fontId="3" fillId="5" borderId="140" xfId="25" applyFont="1" applyFill="1" applyBorder="1" applyAlignment="1" applyProtection="1">
      <alignment horizontal="left" vertical="top" wrapText="1"/>
      <protection locked="0"/>
    </xf>
    <xf numFmtId="0" fontId="3" fillId="5" borderId="118" xfId="25" applyFont="1" applyFill="1" applyBorder="1" applyAlignment="1" applyProtection="1">
      <alignment horizontal="left" vertical="top" wrapText="1"/>
      <protection locked="0"/>
    </xf>
    <xf numFmtId="0" fontId="13" fillId="24" borderId="30" xfId="15" applyFont="1" applyFill="1" applyBorder="1" applyAlignment="1">
      <alignment horizontal="left" vertical="top"/>
    </xf>
    <xf numFmtId="0" fontId="13" fillId="24" borderId="44" xfId="15" applyFont="1" applyFill="1" applyBorder="1" applyAlignment="1">
      <alignment horizontal="left" vertical="top"/>
    </xf>
    <xf numFmtId="0" fontId="13" fillId="24" borderId="31" xfId="15" applyFont="1" applyFill="1" applyBorder="1" applyAlignment="1">
      <alignment horizontal="left" vertical="top"/>
    </xf>
    <xf numFmtId="0" fontId="17" fillId="0" borderId="0" xfId="28" applyFont="1" applyFill="1" applyBorder="1" applyAlignment="1">
      <alignment horizontal="left" wrapText="1"/>
    </xf>
    <xf numFmtId="0" fontId="18" fillId="0" borderId="0" xfId="16" applyFont="1" applyAlignment="1" applyProtection="1">
      <alignment horizontal="left"/>
      <protection locked="0"/>
    </xf>
    <xf numFmtId="0" fontId="13" fillId="24" borderId="30" xfId="15" applyFont="1" applyFill="1" applyBorder="1" applyAlignment="1" applyProtection="1">
      <alignment horizontal="left" vertical="center"/>
    </xf>
    <xf numFmtId="0" fontId="13" fillId="24" borderId="44" xfId="15" applyFont="1" applyFill="1" applyBorder="1" applyAlignment="1" applyProtection="1">
      <alignment horizontal="left" vertical="center"/>
    </xf>
    <xf numFmtId="0" fontId="13" fillId="24" borderId="31" xfId="15" applyFont="1" applyFill="1" applyBorder="1" applyAlignment="1" applyProtection="1">
      <alignment horizontal="left" vertical="center"/>
    </xf>
    <xf numFmtId="0" fontId="6" fillId="11" borderId="5" xfId="15" applyFont="1" applyFill="1" applyBorder="1" applyAlignment="1" applyProtection="1">
      <alignment horizontal="left" vertical="center" wrapText="1"/>
    </xf>
    <xf numFmtId="0" fontId="6" fillId="11" borderId="6" xfId="15" applyFont="1" applyFill="1" applyBorder="1" applyAlignment="1" applyProtection="1">
      <alignment horizontal="left" vertical="center" wrapText="1"/>
    </xf>
    <xf numFmtId="0" fontId="6" fillId="11" borderId="7" xfId="15" applyFont="1" applyFill="1" applyBorder="1" applyAlignment="1" applyProtection="1">
      <alignment horizontal="left" vertical="center" wrapText="1"/>
    </xf>
    <xf numFmtId="0" fontId="6" fillId="11" borderId="3" xfId="15" applyFont="1" applyFill="1" applyBorder="1" applyAlignment="1" applyProtection="1">
      <alignment horizontal="left" vertical="center" wrapText="1"/>
    </xf>
    <xf numFmtId="0" fontId="6" fillId="11" borderId="1" xfId="15" applyFont="1" applyFill="1" applyBorder="1" applyAlignment="1" applyProtection="1">
      <alignment horizontal="left" vertical="center" wrapText="1"/>
    </xf>
    <xf numFmtId="0" fontId="6" fillId="11" borderId="10" xfId="15" applyFont="1" applyFill="1" applyBorder="1" applyAlignment="1" applyProtection="1">
      <alignment horizontal="left" vertical="center" wrapText="1"/>
    </xf>
    <xf numFmtId="0" fontId="68" fillId="0" borderId="65" xfId="0" applyFont="1" applyBorder="1" applyAlignment="1">
      <alignment horizontal="left" vertical="top" wrapText="1"/>
    </xf>
    <xf numFmtId="0" fontId="68" fillId="0" borderId="66" xfId="0" applyFont="1" applyBorder="1" applyAlignment="1">
      <alignment horizontal="left" vertical="top" wrapText="1"/>
    </xf>
    <xf numFmtId="0" fontId="68" fillId="0" borderId="45" xfId="0" applyFont="1" applyBorder="1" applyAlignment="1">
      <alignment horizontal="left" vertical="top" wrapText="1"/>
    </xf>
    <xf numFmtId="0" fontId="68" fillId="0" borderId="163" xfId="0" applyFont="1" applyBorder="1" applyAlignment="1">
      <alignment horizontal="center" vertical="center"/>
    </xf>
    <xf numFmtId="0" fontId="68" fillId="0" borderId="164" xfId="0" applyFont="1" applyBorder="1" applyAlignment="1">
      <alignment horizontal="center" vertical="center"/>
    </xf>
    <xf numFmtId="0" fontId="68" fillId="0" borderId="46" xfId="0" applyFont="1" applyBorder="1" applyAlignment="1">
      <alignment horizontal="center" vertical="center"/>
    </xf>
    <xf numFmtId="0" fontId="46" fillId="0" borderId="103" xfId="0" applyFont="1" applyBorder="1" applyAlignment="1">
      <alignment horizontal="center" vertical="center"/>
    </xf>
    <xf numFmtId="0" fontId="46" fillId="0" borderId="140" xfId="0" applyFont="1" applyBorder="1" applyAlignment="1">
      <alignment horizontal="center" vertical="center"/>
    </xf>
    <xf numFmtId="0" fontId="46" fillId="0" borderId="118" xfId="0" applyFont="1" applyBorder="1" applyAlignment="1">
      <alignment horizontal="center" vertical="center"/>
    </xf>
    <xf numFmtId="0" fontId="37" fillId="0" borderId="30" xfId="0" applyFont="1" applyFill="1" applyBorder="1" applyAlignment="1" applyProtection="1">
      <alignment horizontal="left" vertical="top" wrapText="1"/>
    </xf>
    <xf numFmtId="0" fontId="37" fillId="0" borderId="44" xfId="0" applyFont="1" applyFill="1" applyBorder="1" applyAlignment="1" applyProtection="1">
      <alignment horizontal="left" vertical="top" wrapText="1"/>
    </xf>
    <xf numFmtId="0" fontId="37" fillId="0" borderId="31" xfId="0" applyFont="1" applyFill="1" applyBorder="1" applyAlignment="1" applyProtection="1">
      <alignment horizontal="left" vertical="top" wrapText="1"/>
    </xf>
    <xf numFmtId="0" fontId="8" fillId="0" borderId="99" xfId="0" applyFont="1" applyBorder="1" applyAlignment="1">
      <alignment horizontal="center" vertical="center"/>
    </xf>
    <xf numFmtId="0" fontId="8" fillId="0" borderId="14" xfId="0" applyFont="1" applyBorder="1" applyAlignment="1">
      <alignment horizontal="center"/>
    </xf>
    <xf numFmtId="0" fontId="8" fillId="0" borderId="62" xfId="0" applyFont="1" applyBorder="1" applyAlignment="1">
      <alignment horizontal="center" vertical="center"/>
    </xf>
    <xf numFmtId="0" fontId="8" fillId="0" borderId="6" xfId="0" applyFont="1" applyBorder="1" applyAlignment="1">
      <alignment horizontal="center" vertical="center"/>
    </xf>
    <xf numFmtId="0" fontId="8" fillId="0" borderId="9" xfId="0" applyFont="1" applyBorder="1" applyAlignment="1">
      <alignment horizontal="center" vertical="center"/>
    </xf>
    <xf numFmtId="0" fontId="8" fillId="0" borderId="77"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5" xfId="0" applyFont="1" applyBorder="1" applyAlignment="1">
      <alignment horizontal="center"/>
    </xf>
    <xf numFmtId="0" fontId="8" fillId="0" borderId="13" xfId="0" applyFont="1" applyBorder="1" applyAlignment="1">
      <alignment horizontal="center"/>
    </xf>
    <xf numFmtId="0" fontId="8" fillId="0" borderId="3" xfId="0" applyFont="1" applyBorder="1" applyAlignment="1">
      <alignment horizontal="center"/>
    </xf>
    <xf numFmtId="0" fontId="8" fillId="0" borderId="1" xfId="0" applyFont="1" applyBorder="1" applyAlignment="1">
      <alignment horizontal="center"/>
    </xf>
    <xf numFmtId="0" fontId="8" fillId="0" borderId="7"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73" xfId="0" applyFont="1" applyBorder="1" applyAlignment="1">
      <alignment horizontal="center" vertical="center"/>
    </xf>
    <xf numFmtId="0" fontId="8" fillId="0" borderId="76" xfId="0" applyFont="1" applyBorder="1" applyAlignment="1">
      <alignment horizontal="center" vertical="center"/>
    </xf>
    <xf numFmtId="0" fontId="8" fillId="4" borderId="1" xfId="0" applyFont="1" applyFill="1" applyBorder="1" applyAlignment="1">
      <alignment horizontal="left"/>
    </xf>
    <xf numFmtId="0" fontId="8" fillId="0" borderId="5" xfId="0" applyFont="1" applyBorder="1" applyAlignment="1">
      <alignment horizontal="center" vertical="center"/>
    </xf>
    <xf numFmtId="0" fontId="8" fillId="0" borderId="3" xfId="0" applyFont="1" applyBorder="1" applyAlignment="1">
      <alignment horizontal="center" vertical="center"/>
    </xf>
    <xf numFmtId="0" fontId="8" fillId="0" borderId="1" xfId="0" applyFont="1" applyBorder="1" applyAlignment="1">
      <alignment horizontal="center" vertical="center"/>
    </xf>
    <xf numFmtId="0" fontId="8" fillId="0" borderId="10" xfId="0" applyFont="1" applyBorder="1" applyAlignment="1">
      <alignment horizontal="center" vertical="center" wrapText="1"/>
    </xf>
    <xf numFmtId="0" fontId="3" fillId="0" borderId="102"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93"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0" borderId="103" xfId="0" applyFont="1" applyFill="1" applyBorder="1" applyAlignment="1">
      <alignment horizontal="center" vertical="center" wrapText="1"/>
    </xf>
    <xf numFmtId="0" fontId="3" fillId="0" borderId="95"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63" xfId="0" applyFont="1" applyBorder="1" applyAlignment="1">
      <alignment horizontal="center" vertical="center" wrapText="1"/>
    </xf>
    <xf numFmtId="0" fontId="8" fillId="0" borderId="24" xfId="0" applyFont="1" applyBorder="1" applyAlignment="1">
      <alignment horizontal="center" vertical="center"/>
    </xf>
    <xf numFmtId="0" fontId="8" fillId="0" borderId="7" xfId="0" applyFont="1" applyBorder="1" applyAlignment="1">
      <alignment horizontal="center" vertical="center"/>
    </xf>
    <xf numFmtId="0" fontId="8" fillId="0" borderId="65" xfId="0" applyFont="1" applyBorder="1" applyAlignment="1">
      <alignment horizontal="center" vertical="center"/>
    </xf>
    <xf numFmtId="0" fontId="8" fillId="0" borderId="49" xfId="0" applyFont="1" applyBorder="1" applyAlignment="1">
      <alignment horizontal="center" vertical="center"/>
    </xf>
    <xf numFmtId="0" fontId="8" fillId="0" borderId="74" xfId="0" applyFont="1" applyBorder="1" applyAlignment="1">
      <alignment horizontal="center" vertical="center"/>
    </xf>
    <xf numFmtId="0" fontId="8" fillId="0" borderId="38" xfId="0" applyFont="1" applyBorder="1" applyAlignment="1">
      <alignment horizontal="center" vertical="center"/>
    </xf>
    <xf numFmtId="0" fontId="8" fillId="0" borderId="82" xfId="0" applyFont="1" applyBorder="1" applyAlignment="1">
      <alignment horizontal="center" vertical="center"/>
    </xf>
    <xf numFmtId="0" fontId="8" fillId="0" borderId="74" xfId="0" applyFont="1" applyBorder="1" applyAlignment="1">
      <alignment horizontal="center" wrapText="1"/>
    </xf>
    <xf numFmtId="0" fontId="8" fillId="0" borderId="38" xfId="0" applyFont="1" applyBorder="1" applyAlignment="1">
      <alignment horizontal="center" wrapText="1"/>
    </xf>
    <xf numFmtId="0" fontId="8" fillId="0" borderId="18" xfId="0" applyFont="1" applyBorder="1" applyAlignment="1">
      <alignment horizontal="center" vertical="center" wrapText="1"/>
    </xf>
    <xf numFmtId="0" fontId="8" fillId="0" borderId="42" xfId="0" applyFont="1" applyBorder="1" applyAlignment="1">
      <alignment horizontal="center" vertical="center" wrapText="1"/>
    </xf>
    <xf numFmtId="0" fontId="8" fillId="0" borderId="75" xfId="0" applyFont="1" applyBorder="1" applyAlignment="1">
      <alignment horizontal="center" vertical="center" wrapText="1"/>
    </xf>
    <xf numFmtId="0" fontId="8" fillId="0" borderId="100" xfId="0" applyFont="1" applyBorder="1" applyAlignment="1">
      <alignment horizontal="center" vertical="center" wrapText="1"/>
    </xf>
    <xf numFmtId="0" fontId="8" fillId="0" borderId="102" xfId="0" applyFont="1" applyBorder="1" applyAlignment="1">
      <alignment horizontal="center" vertical="center"/>
    </xf>
    <xf numFmtId="0" fontId="27" fillId="0" borderId="62" xfId="0" applyFont="1" applyBorder="1" applyAlignment="1">
      <alignment horizontal="center" vertical="center"/>
    </xf>
    <xf numFmtId="0" fontId="27" fillId="0" borderId="6" xfId="0" applyFont="1" applyBorder="1" applyAlignment="1">
      <alignment horizontal="center" vertical="center"/>
    </xf>
  </cellXfs>
  <cellStyles count="44">
    <cellStyle name="40% - Accent1" xfId="38" builtinId="31"/>
    <cellStyle name="40% - Accent1 2" xfId="1" xr:uid="{00000000-0005-0000-0000-000001000000}"/>
    <cellStyle name="60% - Accent1" xfId="2" builtinId="32" customBuiltin="1"/>
    <cellStyle name="60% - Accent1 2" xfId="3" xr:uid="{00000000-0005-0000-0000-000003000000}"/>
    <cellStyle name="60% - Accent2" xfId="39" builtinId="36"/>
    <cellStyle name="60% - Accent2 2" xfId="4" xr:uid="{00000000-0005-0000-0000-000005000000}"/>
    <cellStyle name="Auto Populated Cells" xfId="5" xr:uid="{00000000-0005-0000-0000-000006000000}"/>
    <cellStyle name="Bad" xfId="6" builtinId="27" customBuiltin="1"/>
    <cellStyle name="Calculation" xfId="7" builtinId="22" customBuiltin="1"/>
    <cellStyle name="Calculation 2" xfId="8" xr:uid="{00000000-0005-0000-0000-000009000000}"/>
    <cellStyle name="Conditional Cell" xfId="9" xr:uid="{00000000-0005-0000-0000-00000A000000}"/>
    <cellStyle name="Explanatory Text" xfId="10" builtinId="53" customBuiltin="1"/>
    <cellStyle name="Explanatory Text 2" xfId="11" xr:uid="{00000000-0005-0000-0000-00000C000000}"/>
    <cellStyle name="Explanatory Text 3" xfId="12" xr:uid="{00000000-0005-0000-0000-00000D000000}"/>
    <cellStyle name="Fixed Values" xfId="13" xr:uid="{00000000-0005-0000-0000-00000E000000}"/>
    <cellStyle name="Heading 4" xfId="14" builtinId="19" customBuiltin="1"/>
    <cellStyle name="Heading 4 2" xfId="15" xr:uid="{00000000-0005-0000-0000-000010000000}"/>
    <cellStyle name="Hyperlink" xfId="16" builtinId="8"/>
    <cellStyle name="Hyperlink 2" xfId="17" xr:uid="{00000000-0005-0000-0000-000012000000}"/>
    <cellStyle name="Input" xfId="18" builtinId="20" customBuiltin="1"/>
    <cellStyle name="Input 2" xfId="19" xr:uid="{00000000-0005-0000-0000-000014000000}"/>
    <cellStyle name="Input 3" xfId="20" xr:uid="{00000000-0005-0000-0000-000015000000}"/>
    <cellStyle name="Input Cell" xfId="40" xr:uid="{992DE6B1-661C-42B4-AC77-0834499ED2F3}"/>
    <cellStyle name="Input Cell 2" xfId="43" xr:uid="{A0E82C8A-965F-4564-9420-1F6760EAD2BA}"/>
    <cellStyle name="Neutral" xfId="21" builtinId="28" customBuiltin="1"/>
    <cellStyle name="Neutral 2" xfId="22" xr:uid="{00000000-0005-0000-0000-000017000000}"/>
    <cellStyle name="Normal" xfId="0" builtinId="0" customBuiltin="1"/>
    <cellStyle name="Normal 2" xfId="23" xr:uid="{00000000-0005-0000-0000-000019000000}"/>
    <cellStyle name="Normal 2 2" xfId="24" xr:uid="{00000000-0005-0000-0000-00001A000000}"/>
    <cellStyle name="Normal 3" xfId="25" xr:uid="{00000000-0005-0000-0000-00001B000000}"/>
    <cellStyle name="Normal 3 2" xfId="26" xr:uid="{00000000-0005-0000-0000-00001C000000}"/>
    <cellStyle name="Normal 3 3" xfId="27" xr:uid="{00000000-0005-0000-0000-00001D000000}"/>
    <cellStyle name="Normal 4" xfId="28" xr:uid="{00000000-0005-0000-0000-00001E000000}"/>
    <cellStyle name="Output" xfId="29" builtinId="21" customBuiltin="1"/>
    <cellStyle name="Output 2" xfId="30" xr:uid="{00000000-0005-0000-0000-000020000000}"/>
    <cellStyle name="Output 2 2" xfId="31" xr:uid="{00000000-0005-0000-0000-000021000000}"/>
    <cellStyle name="Output Cell" xfId="41" xr:uid="{4A47D43D-20F3-41B3-BA62-139AB1486F0B}"/>
    <cellStyle name="Output Cell 2" xfId="42" xr:uid="{36100156-F72D-4E74-8BB5-17A4D025295E}"/>
    <cellStyle name="Percent" xfId="32" builtinId="5"/>
    <cellStyle name="Revision Needed" xfId="33" xr:uid="{00000000-0005-0000-0000-000023000000}"/>
    <cellStyle name="Tab Header" xfId="34" xr:uid="{00000000-0005-0000-0000-000024000000}"/>
    <cellStyle name="Table Header" xfId="35" xr:uid="{00000000-0005-0000-0000-000025000000}"/>
    <cellStyle name="Variable" xfId="36" xr:uid="{00000000-0005-0000-0000-000026000000}"/>
    <cellStyle name="Variable 2" xfId="37" xr:uid="{00000000-0005-0000-0000-000027000000}"/>
  </cellStyles>
  <dxfs count="4">
    <dxf>
      <fill>
        <patternFill patternType="darkDown"/>
      </fill>
    </dxf>
    <dxf>
      <fill>
        <patternFill patternType="darkDown"/>
      </fill>
    </dxf>
    <dxf>
      <fill>
        <patternFill patternType="darkDown"/>
      </fill>
    </dxf>
    <dxf>
      <fill>
        <patternFill patternType="darkDown"/>
      </fill>
    </dxf>
  </dxfs>
  <tableStyles count="0" defaultTableStyle="TableStyleMedium9" defaultPivotStyle="PivotStyleLight16"/>
  <colors>
    <mruColors>
      <color rgb="FF99CCFF"/>
      <color rgb="FF8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phillips\AppData\Local\Microsoft\Windows\INetCache\Content.Outlook\QVSJTD9Y\Furnaces%20Test%20Template%20June%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General Info &amp; Test Results"/>
      <sheetName val="Setup &amp; Instrumentation"/>
      <sheetName val="ASHRAE 103-1993 vs CFR"/>
      <sheetName val="Test Conditions - AFUE"/>
      <sheetName val="Steady-State &amp; Cool-Down Tests"/>
      <sheetName val="Draft Factor Test"/>
      <sheetName val="Jacket Loss Test"/>
      <sheetName val="Calculations - AFUE"/>
      <sheetName val="Raw Data"/>
      <sheetName val="Photos"/>
      <sheetName val="Photos adding"/>
      <sheetName val="Comments"/>
      <sheetName val="Report Sign-Off Block"/>
      <sheetName val="Tables"/>
      <sheetName val="Drop-Downs"/>
      <sheetName val="Version Control"/>
    </sheetNames>
    <sheetDataSet>
      <sheetData sheetId="0" refreshError="1"/>
      <sheetData sheetId="1">
        <row r="34">
          <cell r="C34" t="str">
            <v>Floor</v>
          </cell>
        </row>
      </sheetData>
      <sheetData sheetId="2" refreshError="1"/>
      <sheetData sheetId="3" refreshError="1"/>
      <sheetData sheetId="4" refreshError="1"/>
      <sheetData sheetId="5">
        <row r="25">
          <cell r="G25">
            <v>0</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cfr.gov/cgi-bin/text-idx?SID=39e81b8d1c838619d3f66c54b73f8416&amp;mc=true&amp;node=ap10.3.430_127.n&amp;rgn=div9" TargetMode="External"/><Relationship Id="rId1" Type="http://schemas.openxmlformats.org/officeDocument/2006/relationships/hyperlink" Target="http://ecfr.gpoaccess.gov/cgi/t/text/text-idx?c=ecfr&amp;sid=90b436e5a5fddce10dde4ce1be7a9bea&amp;rgn=div9&amp;view=text&amp;node=10:3.0.1.4.17.2.9.6.6&amp;idno=10"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71"/>
  <sheetViews>
    <sheetView showGridLines="0" tabSelected="1" zoomScale="80" zoomScaleNormal="80" workbookViewId="0">
      <selection activeCell="C48" sqref="C48"/>
    </sheetView>
  </sheetViews>
  <sheetFormatPr defaultColWidth="9" defaultRowHeight="15.5" x14ac:dyDescent="0.4"/>
  <cols>
    <col min="1" max="1" width="3.6328125" style="36" customWidth="1"/>
    <col min="2" max="2" width="33" style="36" customWidth="1"/>
    <col min="3" max="3" width="97.26953125" style="36" customWidth="1"/>
    <col min="4" max="4" width="5.08984375" style="36" customWidth="1"/>
    <col min="5" max="5" width="3.6328125" style="36" customWidth="1"/>
    <col min="6" max="16384" width="9" style="36"/>
  </cols>
  <sheetData>
    <row r="1" spans="1:5" ht="17.25" customHeight="1" thickBot="1" x14ac:dyDescent="0.45">
      <c r="A1" s="58"/>
      <c r="E1" s="37"/>
    </row>
    <row r="2" spans="1:5" ht="16" thickBot="1" x14ac:dyDescent="0.45">
      <c r="B2" s="1256" t="s">
        <v>236</v>
      </c>
      <c r="C2" s="1257"/>
      <c r="E2" s="37"/>
    </row>
    <row r="3" spans="1:5" s="38" customFormat="1" x14ac:dyDescent="0.4">
      <c r="B3" s="256" t="s">
        <v>237</v>
      </c>
      <c r="C3" s="257" t="str">
        <f>'Version Control'!C3</f>
        <v>Consumer Boiler</v>
      </c>
      <c r="E3" s="39"/>
    </row>
    <row r="4" spans="1:5" s="38" customFormat="1" x14ac:dyDescent="0.4">
      <c r="B4" s="254" t="s">
        <v>119</v>
      </c>
      <c r="C4" s="250" t="str">
        <f>'Version Control'!C4</f>
        <v>v1.1</v>
      </c>
      <c r="E4" s="39"/>
    </row>
    <row r="5" spans="1:5" s="38" customFormat="1" x14ac:dyDescent="0.4">
      <c r="B5" s="254" t="s">
        <v>120</v>
      </c>
      <c r="C5" s="251">
        <f>'Version Control'!C5</f>
        <v>43721</v>
      </c>
      <c r="E5" s="39"/>
    </row>
    <row r="6" spans="1:5" s="38" customFormat="1" x14ac:dyDescent="0.4">
      <c r="B6" s="255" t="s">
        <v>118</v>
      </c>
      <c r="C6" s="252" t="str">
        <f ca="1">MID(CELL("filename",A1), FIND("]", CELL("filename", A1))+ 1, 255)</f>
        <v>Instructions</v>
      </c>
      <c r="E6" s="39"/>
    </row>
    <row r="7" spans="1:5" s="38" customFormat="1" ht="16" thickBot="1" x14ac:dyDescent="0.45">
      <c r="B7" s="258" t="s">
        <v>117</v>
      </c>
      <c r="C7" s="259" t="str">
        <f ca="1">'Version Control'!C7</f>
        <v>Consumer Boiler - v1.1.xlsx</v>
      </c>
      <c r="E7" s="39"/>
    </row>
    <row r="8" spans="1:5" x14ac:dyDescent="0.4">
      <c r="E8" s="37"/>
    </row>
    <row r="9" spans="1:5" ht="16" thickBot="1" x14ac:dyDescent="0.45">
      <c r="E9" s="37"/>
    </row>
    <row r="10" spans="1:5" ht="16" thickBot="1" x14ac:dyDescent="0.45">
      <c r="B10" s="41" t="s">
        <v>233</v>
      </c>
      <c r="C10" s="42"/>
      <c r="E10" s="37"/>
    </row>
    <row r="11" spans="1:5" ht="20.25" customHeight="1" thickBot="1" x14ac:dyDescent="0.45">
      <c r="B11" s="1264" t="s">
        <v>246</v>
      </c>
      <c r="C11" s="1265"/>
      <c r="E11" s="37"/>
    </row>
    <row r="12" spans="1:5" ht="16" thickBot="1" x14ac:dyDescent="0.45">
      <c r="E12" s="37"/>
    </row>
    <row r="13" spans="1:5" ht="16" thickBot="1" x14ac:dyDescent="0.45">
      <c r="B13" s="41" t="s">
        <v>0</v>
      </c>
      <c r="C13" s="42"/>
      <c r="E13" s="37"/>
    </row>
    <row r="14" spans="1:5" ht="16" thickBot="1" x14ac:dyDescent="0.45">
      <c r="B14" s="43" t="s">
        <v>100</v>
      </c>
      <c r="C14" s="44" t="s">
        <v>101</v>
      </c>
      <c r="E14" s="37"/>
    </row>
    <row r="15" spans="1:5" x14ac:dyDescent="0.4">
      <c r="B15" s="45" t="s">
        <v>102</v>
      </c>
      <c r="C15" s="46" t="s">
        <v>103</v>
      </c>
      <c r="E15" s="37"/>
    </row>
    <row r="16" spans="1:5" x14ac:dyDescent="0.4">
      <c r="B16" s="45" t="s">
        <v>183</v>
      </c>
      <c r="C16" s="46" t="s">
        <v>207</v>
      </c>
      <c r="E16" s="37"/>
    </row>
    <row r="17" spans="2:5" x14ac:dyDescent="0.4">
      <c r="B17" s="45" t="s">
        <v>184</v>
      </c>
      <c r="C17" s="46" t="s">
        <v>208</v>
      </c>
      <c r="E17" s="37"/>
    </row>
    <row r="18" spans="2:5" x14ac:dyDescent="0.4">
      <c r="B18" s="45" t="s">
        <v>231</v>
      </c>
      <c r="C18" s="46" t="s">
        <v>232</v>
      </c>
      <c r="E18" s="37"/>
    </row>
    <row r="19" spans="2:5" x14ac:dyDescent="0.4">
      <c r="B19" s="40" t="s">
        <v>82</v>
      </c>
      <c r="C19" s="47" t="s">
        <v>185</v>
      </c>
      <c r="E19" s="37"/>
    </row>
    <row r="20" spans="2:5" x14ac:dyDescent="0.4">
      <c r="B20" s="40" t="s">
        <v>205</v>
      </c>
      <c r="C20" s="47" t="s">
        <v>186</v>
      </c>
      <c r="E20" s="37"/>
    </row>
    <row r="21" spans="2:5" x14ac:dyDescent="0.4">
      <c r="B21" s="40" t="s">
        <v>1</v>
      </c>
      <c r="C21" s="47" t="s">
        <v>187</v>
      </c>
      <c r="E21" s="37"/>
    </row>
    <row r="22" spans="2:5" x14ac:dyDescent="0.4">
      <c r="B22" s="40" t="s">
        <v>127</v>
      </c>
      <c r="C22" s="47" t="s">
        <v>188</v>
      </c>
      <c r="E22" s="37"/>
    </row>
    <row r="23" spans="2:5" x14ac:dyDescent="0.4">
      <c r="B23" s="40" t="s">
        <v>128</v>
      </c>
      <c r="C23" s="47" t="s">
        <v>213</v>
      </c>
      <c r="E23" s="37"/>
    </row>
    <row r="24" spans="2:5" x14ac:dyDescent="0.4">
      <c r="B24" s="40" t="s">
        <v>2</v>
      </c>
      <c r="C24" s="47" t="s">
        <v>189</v>
      </c>
      <c r="E24" s="37"/>
    </row>
    <row r="25" spans="2:5" x14ac:dyDescent="0.4">
      <c r="B25" s="40" t="s">
        <v>104</v>
      </c>
      <c r="C25" s="47" t="s">
        <v>190</v>
      </c>
      <c r="E25" s="37"/>
    </row>
    <row r="26" spans="2:5" x14ac:dyDescent="0.4">
      <c r="B26" s="40" t="s">
        <v>105</v>
      </c>
      <c r="C26" s="47" t="s">
        <v>191</v>
      </c>
      <c r="E26" s="37"/>
    </row>
    <row r="27" spans="2:5" x14ac:dyDescent="0.4">
      <c r="B27" s="40" t="s">
        <v>106</v>
      </c>
      <c r="C27" s="47" t="s">
        <v>192</v>
      </c>
      <c r="E27" s="37"/>
    </row>
    <row r="28" spans="2:5" x14ac:dyDescent="0.4">
      <c r="B28" s="48" t="s">
        <v>212</v>
      </c>
      <c r="C28" s="49" t="s">
        <v>193</v>
      </c>
      <c r="E28" s="37"/>
    </row>
    <row r="29" spans="2:5" ht="16" thickBot="1" x14ac:dyDescent="0.45">
      <c r="B29" s="50" t="s">
        <v>107</v>
      </c>
      <c r="C29" s="51" t="s">
        <v>194</v>
      </c>
      <c r="E29" s="37"/>
    </row>
    <row r="30" spans="2:5" ht="16" thickBot="1" x14ac:dyDescent="0.45">
      <c r="E30" s="37"/>
    </row>
    <row r="31" spans="2:5" ht="16" thickBot="1" x14ac:dyDescent="0.45">
      <c r="B31" s="1258" t="s">
        <v>108</v>
      </c>
      <c r="C31" s="1259"/>
      <c r="E31" s="37"/>
    </row>
    <row r="32" spans="2:5" x14ac:dyDescent="0.4">
      <c r="B32" s="1260" t="s">
        <v>239</v>
      </c>
      <c r="C32" s="295" t="s">
        <v>240</v>
      </c>
      <c r="E32" s="37"/>
    </row>
    <row r="33" spans="1:5" x14ac:dyDescent="0.4">
      <c r="B33" s="1261"/>
      <c r="C33" s="296" t="s">
        <v>241</v>
      </c>
      <c r="E33" s="37"/>
    </row>
    <row r="34" spans="1:5" x14ac:dyDescent="0.4">
      <c r="B34" s="1261" t="s">
        <v>242</v>
      </c>
      <c r="C34" s="297" t="s">
        <v>109</v>
      </c>
      <c r="E34" s="37"/>
    </row>
    <row r="35" spans="1:5" x14ac:dyDescent="0.4">
      <c r="B35" s="1261"/>
      <c r="C35" s="298" t="s">
        <v>243</v>
      </c>
      <c r="E35" s="37"/>
    </row>
    <row r="36" spans="1:5" x14ac:dyDescent="0.4">
      <c r="B36" s="1261"/>
      <c r="C36" s="299" t="s">
        <v>244</v>
      </c>
      <c r="E36" s="37"/>
    </row>
    <row r="37" spans="1:5" x14ac:dyDescent="0.4">
      <c r="B37" s="1262"/>
      <c r="C37" s="435" t="s">
        <v>396</v>
      </c>
      <c r="E37" s="37"/>
    </row>
    <row r="38" spans="1:5" ht="20.5" thickBot="1" x14ac:dyDescent="0.45">
      <c r="B38" s="1263"/>
      <c r="C38" s="300" t="s">
        <v>110</v>
      </c>
      <c r="E38" s="37"/>
    </row>
    <row r="39" spans="1:5" ht="16" thickBot="1" x14ac:dyDescent="0.45">
      <c r="C39" s="54"/>
      <c r="E39" s="37"/>
    </row>
    <row r="40" spans="1:5" ht="17.5" thickBot="1" x14ac:dyDescent="0.45">
      <c r="B40" s="55" t="s">
        <v>111</v>
      </c>
      <c r="C40" s="56"/>
      <c r="E40" s="37"/>
    </row>
    <row r="41" spans="1:5" ht="16.5" customHeight="1" x14ac:dyDescent="0.4">
      <c r="B41" s="1242" t="s">
        <v>112</v>
      </c>
      <c r="C41" s="1243"/>
      <c r="E41" s="37"/>
    </row>
    <row r="42" spans="1:5" x14ac:dyDescent="0.4">
      <c r="B42" s="1244"/>
      <c r="C42" s="1245"/>
      <c r="E42" s="37"/>
    </row>
    <row r="43" spans="1:5" ht="16" thickBot="1" x14ac:dyDescent="0.45">
      <c r="B43" s="1246"/>
      <c r="C43" s="1247"/>
      <c r="E43" s="37"/>
    </row>
    <row r="44" spans="1:5" ht="17.25" customHeight="1" x14ac:dyDescent="0.4">
      <c r="B44" s="1248" t="s">
        <v>113</v>
      </c>
      <c r="C44" s="1249"/>
      <c r="E44" s="37"/>
    </row>
    <row r="45" spans="1:5" ht="17.25" customHeight="1" thickBot="1" x14ac:dyDescent="0.45">
      <c r="B45" s="1250"/>
      <c r="C45" s="1251"/>
      <c r="E45" s="37"/>
    </row>
    <row r="46" spans="1:5" ht="17.25" customHeight="1" x14ac:dyDescent="0.4">
      <c r="B46" s="1252" t="s">
        <v>114</v>
      </c>
      <c r="C46" s="1254" t="s">
        <v>115</v>
      </c>
      <c r="E46" s="37"/>
    </row>
    <row r="47" spans="1:5" ht="17.25" customHeight="1" x14ac:dyDescent="0.4">
      <c r="B47" s="1253"/>
      <c r="C47" s="1255"/>
      <c r="E47" s="37"/>
    </row>
    <row r="48" spans="1:5" s="38" customFormat="1" ht="17.25" customHeight="1" x14ac:dyDescent="0.4">
      <c r="A48" s="10"/>
      <c r="B48" s="166" t="s">
        <v>3</v>
      </c>
      <c r="C48" s="78" t="s">
        <v>82</v>
      </c>
      <c r="E48" s="39"/>
    </row>
    <row r="49" spans="1:5" x14ac:dyDescent="0.4">
      <c r="A49" s="10"/>
      <c r="B49" s="77" t="s">
        <v>4</v>
      </c>
      <c r="C49" s="78" t="s">
        <v>205</v>
      </c>
      <c r="E49" s="37"/>
    </row>
    <row r="50" spans="1:5" x14ac:dyDescent="0.4">
      <c r="A50" s="10"/>
      <c r="B50" s="79" t="s">
        <v>5</v>
      </c>
      <c r="C50" s="302" t="s">
        <v>170</v>
      </c>
      <c r="E50" s="37"/>
    </row>
    <row r="51" spans="1:5" x14ac:dyDescent="0.4">
      <c r="A51" s="10"/>
      <c r="B51" s="166" t="s">
        <v>6</v>
      </c>
      <c r="C51" s="184" t="s">
        <v>1</v>
      </c>
      <c r="E51" s="37"/>
    </row>
    <row r="52" spans="1:5" x14ac:dyDescent="0.4">
      <c r="A52" s="10"/>
      <c r="B52" s="79" t="s">
        <v>7</v>
      </c>
      <c r="C52" s="1233" t="s">
        <v>433</v>
      </c>
      <c r="E52" s="37"/>
    </row>
    <row r="53" spans="1:5" x14ac:dyDescent="0.4">
      <c r="A53" s="10"/>
      <c r="B53" s="166" t="s">
        <v>8</v>
      </c>
      <c r="C53" s="167" t="s">
        <v>127</v>
      </c>
      <c r="E53" s="37"/>
    </row>
    <row r="54" spans="1:5" x14ac:dyDescent="0.4">
      <c r="A54" s="10"/>
      <c r="B54" s="79" t="s">
        <v>9</v>
      </c>
      <c r="C54" s="167" t="s">
        <v>128</v>
      </c>
      <c r="E54" s="37"/>
    </row>
    <row r="55" spans="1:5" x14ac:dyDescent="0.4">
      <c r="A55" s="10"/>
      <c r="B55" s="166" t="s">
        <v>10</v>
      </c>
      <c r="C55" s="1234" t="s">
        <v>1157</v>
      </c>
      <c r="E55" s="37"/>
    </row>
    <row r="56" spans="1:5" x14ac:dyDescent="0.4">
      <c r="A56" s="10"/>
      <c r="B56" s="79" t="s">
        <v>11</v>
      </c>
      <c r="C56" s="301" t="s">
        <v>2</v>
      </c>
      <c r="E56" s="37"/>
    </row>
    <row r="57" spans="1:5" x14ac:dyDescent="0.4">
      <c r="A57" s="10"/>
      <c r="B57" s="166" t="s">
        <v>168</v>
      </c>
      <c r="C57" s="167" t="s">
        <v>105</v>
      </c>
      <c r="E57" s="37"/>
    </row>
    <row r="58" spans="1:5" ht="16" thickBot="1" x14ac:dyDescent="0.45">
      <c r="A58" s="10"/>
      <c r="B58" s="168" t="s">
        <v>1156</v>
      </c>
      <c r="C58" s="169" t="s">
        <v>116</v>
      </c>
      <c r="E58" s="37"/>
    </row>
    <row r="59" spans="1:5" ht="16" thickBot="1" x14ac:dyDescent="0.45">
      <c r="B59" s="57"/>
      <c r="C59" s="52"/>
      <c r="E59" s="37"/>
    </row>
    <row r="60" spans="1:5" ht="16" thickBot="1" x14ac:dyDescent="0.45">
      <c r="B60" s="164" t="s">
        <v>169</v>
      </c>
      <c r="C60" s="165"/>
      <c r="E60" s="37"/>
    </row>
    <row r="61" spans="1:5" x14ac:dyDescent="0.4">
      <c r="B61" s="104" t="s">
        <v>230</v>
      </c>
      <c r="C61" s="105"/>
      <c r="E61" s="37"/>
    </row>
    <row r="62" spans="1:5" x14ac:dyDescent="0.4">
      <c r="B62" s="79" t="s">
        <v>166</v>
      </c>
      <c r="C62" s="107"/>
      <c r="E62" s="37"/>
    </row>
    <row r="63" spans="1:5" x14ac:dyDescent="0.4">
      <c r="B63" s="109" t="s">
        <v>162</v>
      </c>
      <c r="C63" s="106"/>
      <c r="E63" s="37"/>
    </row>
    <row r="64" spans="1:5" x14ac:dyDescent="0.4">
      <c r="B64" s="109" t="s">
        <v>163</v>
      </c>
      <c r="C64" s="106"/>
      <c r="E64" s="37"/>
    </row>
    <row r="65" spans="1:5" x14ac:dyDescent="0.4">
      <c r="B65" s="109" t="s">
        <v>164</v>
      </c>
      <c r="C65" s="106"/>
      <c r="E65" s="37"/>
    </row>
    <row r="66" spans="1:5" x14ac:dyDescent="0.4">
      <c r="B66" s="109" t="s">
        <v>165</v>
      </c>
      <c r="C66" s="106"/>
      <c r="E66" s="37"/>
    </row>
    <row r="67" spans="1:5" x14ac:dyDescent="0.4">
      <c r="B67" s="109" t="s">
        <v>167</v>
      </c>
      <c r="C67" s="106"/>
      <c r="E67" s="37"/>
    </row>
    <row r="68" spans="1:5" x14ac:dyDescent="0.4">
      <c r="B68" s="163" t="s">
        <v>174</v>
      </c>
      <c r="C68" s="106"/>
      <c r="E68" s="37"/>
    </row>
    <row r="69" spans="1:5" ht="16" thickBot="1" x14ac:dyDescent="0.45">
      <c r="B69" s="110" t="s">
        <v>195</v>
      </c>
      <c r="C69" s="108"/>
      <c r="E69" s="37"/>
    </row>
    <row r="70" spans="1:5" x14ac:dyDescent="0.4">
      <c r="E70" s="37"/>
    </row>
    <row r="71" spans="1:5" x14ac:dyDescent="0.4">
      <c r="A71" s="37"/>
      <c r="B71" s="37"/>
      <c r="C71" s="37"/>
      <c r="D71" s="37"/>
      <c r="E71" s="37"/>
    </row>
  </sheetData>
  <sheetProtection algorithmName="SHA-512" hashValue="eZCZawbKpczIa97WTALDkVts8TvuHKXpiqKL9oOhHFzvNOJbv1C0zamMWfnH7CBfqCUESbySSn8FIhQgkqH9yA==" saltValue="HIRdAP6x+BxgvupLHohYtQ==" spinCount="100000" sheet="1" selectLockedCells="1"/>
  <mergeCells count="9">
    <mergeCell ref="B41:C43"/>
    <mergeCell ref="B44:C45"/>
    <mergeCell ref="B46:B47"/>
    <mergeCell ref="C46:C47"/>
    <mergeCell ref="B2:C2"/>
    <mergeCell ref="B31:C31"/>
    <mergeCell ref="B32:B33"/>
    <mergeCell ref="B34:B38"/>
    <mergeCell ref="B11:C11"/>
  </mergeCells>
  <phoneticPr fontId="29" type="noConversion"/>
  <hyperlinks>
    <hyperlink ref="B11" r:id="rId1" display="10 CFR 430 Subpart B Appendix N:  Uniform Test Method for Measuring the Energy Consumption of Furnaces and Boilers [62 FR 26157, May 12, 1997]" xr:uid="{00000000-0004-0000-0000-000000000000}"/>
    <hyperlink ref="C58" location="'Report Sign-Off Block'!A1" display="Report Sign-off Block" xr:uid="{00000000-0004-0000-0000-000001000000}"/>
    <hyperlink ref="C48" location="'General Info &amp; Test Results'!A1" display="General Info &amp; Test Results" xr:uid="{00000000-0004-0000-0000-000002000000}"/>
    <hyperlink ref="C49" location="Instrumentation!A1" display="Instrumentation" xr:uid="{00000000-0004-0000-0000-000003000000}"/>
    <hyperlink ref="C51" location="'Test Conditions'!A1" display="Test Conditions" xr:uid="{00000000-0004-0000-0000-000004000000}"/>
    <hyperlink ref="C53" location="'MAX Test'!A1" display="Max Test" xr:uid="{00000000-0004-0000-0000-000005000000}"/>
    <hyperlink ref="C54" location="'Reduced Test'!A1" display="Reduced Test" xr:uid="{00000000-0004-0000-0000-000006000000}"/>
    <hyperlink ref="C56" location="Photos!A1" display="Photos" xr:uid="{00000000-0004-0000-0000-000007000000}"/>
    <hyperlink ref="C57" location="Comments!A1" display="Comments" xr:uid="{00000000-0004-0000-0000-000009000000}"/>
    <hyperlink ref="B11:C11" r:id="rId2" display="10 CFR 430 Subpart B Appendix N:  Uniform Test Method for Measuring the Energy Consumption of Furnaces and Boilers" xr:uid="{00000000-0004-0000-0000-00000A000000}"/>
    <hyperlink ref="C52" location="'Jacket Loss'!A1" display="Jacket Loss" xr:uid="{B9BEFE4E-C75B-4D8C-B7FA-C6F558FCE984}"/>
    <hyperlink ref="C55" location="Calculations!A1" display="Calculations" xr:uid="{AC55CE09-1EC3-4E1E-B1AD-BA054C551BAC}"/>
  </hyperlinks>
  <pageMargins left="0.7" right="0.7" top="0.75" bottom="0.75" header="0.3" footer="0.3"/>
  <pageSetup orientation="portrait" horizontalDpi="200" verticalDpi="200"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0070C0"/>
  </sheetPr>
  <dimension ref="A1:N88"/>
  <sheetViews>
    <sheetView showGridLines="0" zoomScale="80" zoomScaleNormal="80" workbookViewId="0">
      <selection activeCell="H4" sqref="H4:J4"/>
    </sheetView>
  </sheetViews>
  <sheetFormatPr defaultColWidth="9" defaultRowHeight="15.5" x14ac:dyDescent="0.4"/>
  <cols>
    <col min="1" max="1" width="3.6328125" style="112" customWidth="1"/>
    <col min="2" max="2" width="28.7265625" style="112" customWidth="1"/>
    <col min="3" max="3" width="38" style="112" customWidth="1"/>
    <col min="4" max="6" width="17.26953125" style="112" customWidth="1"/>
    <col min="7" max="11" width="9" style="112"/>
    <col min="12" max="12" width="8" style="112" customWidth="1"/>
    <col min="13" max="13" width="3.90625" style="112" customWidth="1"/>
    <col min="14" max="14" width="2.7265625" style="112" customWidth="1"/>
    <col min="15" max="16384" width="9" style="112"/>
  </cols>
  <sheetData>
    <row r="1" spans="2:14" ht="16" thickBot="1" x14ac:dyDescent="0.45">
      <c r="N1" s="113"/>
    </row>
    <row r="2" spans="2:14" ht="16" thickBot="1" x14ac:dyDescent="0.45">
      <c r="B2" s="1266" t="s">
        <v>236</v>
      </c>
      <c r="C2" s="1267"/>
      <c r="D2" s="225"/>
      <c r="E2" s="225"/>
      <c r="F2" s="225"/>
      <c r="N2" s="113"/>
    </row>
    <row r="3" spans="2:14" ht="17.25" customHeight="1" x14ac:dyDescent="0.4">
      <c r="B3" s="229" t="s">
        <v>237</v>
      </c>
      <c r="C3" s="230" t="str">
        <f>'Version Control'!C3</f>
        <v>Consumer Boiler</v>
      </c>
      <c r="D3" s="1559"/>
      <c r="E3" s="1559"/>
      <c r="F3" s="1559"/>
      <c r="N3" s="113"/>
    </row>
    <row r="4" spans="2:14" x14ac:dyDescent="0.4">
      <c r="B4" s="231" t="s">
        <v>119</v>
      </c>
      <c r="C4" s="232" t="str">
        <f>'Version Control'!C4</f>
        <v>v1.1</v>
      </c>
      <c r="D4" s="226"/>
      <c r="E4" s="226"/>
      <c r="F4" s="226"/>
      <c r="H4" s="1560" t="s">
        <v>126</v>
      </c>
      <c r="I4" s="1560"/>
      <c r="J4" s="1560"/>
      <c r="N4" s="113"/>
    </row>
    <row r="5" spans="2:14" x14ac:dyDescent="0.4">
      <c r="B5" s="231" t="s">
        <v>120</v>
      </c>
      <c r="C5" s="233">
        <f>'Version Control'!C5</f>
        <v>43721</v>
      </c>
      <c r="D5" s="227"/>
      <c r="E5" s="226"/>
      <c r="F5" s="226"/>
      <c r="N5" s="113"/>
    </row>
    <row r="6" spans="2:14" x14ac:dyDescent="0.4">
      <c r="B6" s="234" t="s">
        <v>118</v>
      </c>
      <c r="C6" s="235" t="str">
        <f ca="1">MID(CELL("filename",A1), FIND("]", CELL("filename", A1))+ 1, 255)</f>
        <v>Comments</v>
      </c>
      <c r="D6" s="228"/>
      <c r="E6" s="226"/>
      <c r="F6" s="226"/>
      <c r="N6" s="113"/>
    </row>
    <row r="7" spans="2:14" x14ac:dyDescent="0.4">
      <c r="B7" s="236" t="s">
        <v>117</v>
      </c>
      <c r="C7" s="222" t="str">
        <f ca="1">'Version Control'!C7</f>
        <v>Consumer Boiler - v1.1.xlsx</v>
      </c>
      <c r="D7" s="228"/>
      <c r="E7" s="226"/>
      <c r="F7" s="226"/>
      <c r="N7" s="113"/>
    </row>
    <row r="8" spans="2:14" ht="16" thickBot="1" x14ac:dyDescent="0.45">
      <c r="B8" s="237" t="s">
        <v>121</v>
      </c>
      <c r="C8" s="238">
        <f>'Version Control'!C8</f>
        <v>0</v>
      </c>
      <c r="D8" s="212"/>
      <c r="E8" s="213"/>
      <c r="F8" s="213"/>
      <c r="N8" s="113"/>
    </row>
    <row r="9" spans="2:14" x14ac:dyDescent="0.4">
      <c r="N9" s="113"/>
    </row>
    <row r="10" spans="2:14" ht="16" thickBot="1" x14ac:dyDescent="0.45">
      <c r="N10" s="113"/>
    </row>
    <row r="11" spans="2:14" ht="16" thickBot="1" x14ac:dyDescent="0.45">
      <c r="B11" s="1556" t="s">
        <v>175</v>
      </c>
      <c r="C11" s="1557"/>
      <c r="D11" s="1557"/>
      <c r="E11" s="1557"/>
      <c r="F11" s="1557"/>
      <c r="G11" s="1557"/>
      <c r="H11" s="1557"/>
      <c r="I11" s="1557"/>
      <c r="J11" s="1557"/>
      <c r="K11" s="1557"/>
      <c r="L11" s="1558"/>
      <c r="M11" s="114"/>
      <c r="N11" s="113"/>
    </row>
    <row r="12" spans="2:14" x14ac:dyDescent="0.4">
      <c r="B12" s="1211"/>
      <c r="C12" s="1212"/>
      <c r="D12" s="1212"/>
      <c r="E12" s="1212"/>
      <c r="F12" s="1212"/>
      <c r="G12" s="1212"/>
      <c r="H12" s="1212"/>
      <c r="I12" s="1212"/>
      <c r="J12" s="1212"/>
      <c r="K12" s="1212"/>
      <c r="L12" s="1213"/>
      <c r="M12" s="116"/>
      <c r="N12" s="113"/>
    </row>
    <row r="13" spans="2:14" x14ac:dyDescent="0.4">
      <c r="B13" s="1550"/>
      <c r="C13" s="1551"/>
      <c r="D13" s="1551"/>
      <c r="E13" s="1551"/>
      <c r="F13" s="1551"/>
      <c r="G13" s="1551"/>
      <c r="H13" s="1551"/>
      <c r="I13" s="1551"/>
      <c r="J13" s="1551"/>
      <c r="K13" s="1551"/>
      <c r="L13" s="1552"/>
      <c r="M13" s="116"/>
      <c r="N13" s="113"/>
    </row>
    <row r="14" spans="2:14" x14ac:dyDescent="0.4">
      <c r="B14" s="1542"/>
      <c r="C14" s="1543"/>
      <c r="D14" s="1543"/>
      <c r="E14" s="1543"/>
      <c r="F14" s="1543"/>
      <c r="G14" s="1543"/>
      <c r="H14" s="1543"/>
      <c r="I14" s="1543"/>
      <c r="J14" s="1543"/>
      <c r="K14" s="1543"/>
      <c r="L14" s="1544"/>
      <c r="M14" s="116"/>
      <c r="N14" s="113"/>
    </row>
    <row r="15" spans="2:14" x14ac:dyDescent="0.4">
      <c r="B15" s="1542"/>
      <c r="C15" s="1543"/>
      <c r="D15" s="1543"/>
      <c r="E15" s="1543"/>
      <c r="F15" s="1543"/>
      <c r="G15" s="1543"/>
      <c r="H15" s="1543"/>
      <c r="I15" s="1543"/>
      <c r="J15" s="1543"/>
      <c r="K15" s="1543"/>
      <c r="L15" s="1544"/>
      <c r="M15" s="116"/>
      <c r="N15" s="113"/>
    </row>
    <row r="16" spans="2:14" x14ac:dyDescent="0.4">
      <c r="B16" s="1553"/>
      <c r="C16" s="1554"/>
      <c r="D16" s="1554"/>
      <c r="E16" s="1554"/>
      <c r="F16" s="1554"/>
      <c r="G16" s="1554"/>
      <c r="H16" s="1554"/>
      <c r="I16" s="1554"/>
      <c r="J16" s="1554"/>
      <c r="K16" s="1554"/>
      <c r="L16" s="1555"/>
      <c r="M16" s="116"/>
      <c r="N16" s="113"/>
    </row>
    <row r="17" spans="2:14" x14ac:dyDescent="0.4">
      <c r="B17" s="118"/>
      <c r="C17" s="119"/>
      <c r="D17" s="119"/>
      <c r="E17" s="119"/>
      <c r="F17" s="119"/>
      <c r="G17" s="119"/>
      <c r="H17" s="119"/>
      <c r="I17" s="119"/>
      <c r="J17" s="119"/>
      <c r="K17" s="119"/>
      <c r="L17" s="120"/>
      <c r="M17" s="116"/>
      <c r="N17" s="113"/>
    </row>
    <row r="18" spans="2:14" x14ac:dyDescent="0.4">
      <c r="B18" s="1550"/>
      <c r="C18" s="1551"/>
      <c r="D18" s="1551"/>
      <c r="E18" s="1551"/>
      <c r="F18" s="1551"/>
      <c r="G18" s="1551"/>
      <c r="H18" s="1551"/>
      <c r="I18" s="1551"/>
      <c r="J18" s="1551"/>
      <c r="K18" s="1551"/>
      <c r="L18" s="1552"/>
      <c r="M18" s="116"/>
      <c r="N18" s="113"/>
    </row>
    <row r="19" spans="2:14" x14ac:dyDescent="0.4">
      <c r="B19" s="1542"/>
      <c r="C19" s="1543"/>
      <c r="D19" s="1543"/>
      <c r="E19" s="1543"/>
      <c r="F19" s="1543"/>
      <c r="G19" s="1543"/>
      <c r="H19" s="1543"/>
      <c r="I19" s="1543"/>
      <c r="J19" s="1543"/>
      <c r="K19" s="1543"/>
      <c r="L19" s="1544"/>
      <c r="M19" s="116"/>
      <c r="N19" s="113"/>
    </row>
    <row r="20" spans="2:14" x14ac:dyDescent="0.4">
      <c r="B20" s="1542"/>
      <c r="C20" s="1543"/>
      <c r="D20" s="1543"/>
      <c r="E20" s="1543"/>
      <c r="F20" s="1543"/>
      <c r="G20" s="1543"/>
      <c r="H20" s="1543"/>
      <c r="I20" s="1543"/>
      <c r="J20" s="1543"/>
      <c r="K20" s="1543"/>
      <c r="L20" s="1544"/>
      <c r="M20" s="116"/>
      <c r="N20" s="113"/>
    </row>
    <row r="21" spans="2:14" x14ac:dyDescent="0.4">
      <c r="B21" s="1553"/>
      <c r="C21" s="1554"/>
      <c r="D21" s="1554"/>
      <c r="E21" s="1554"/>
      <c r="F21" s="1554"/>
      <c r="G21" s="1554"/>
      <c r="H21" s="1554"/>
      <c r="I21" s="1554"/>
      <c r="J21" s="1554"/>
      <c r="K21" s="1554"/>
      <c r="L21" s="1555"/>
      <c r="M21" s="116"/>
      <c r="N21" s="113"/>
    </row>
    <row r="22" spans="2:14" x14ac:dyDescent="0.4">
      <c r="B22" s="118"/>
      <c r="C22" s="119"/>
      <c r="D22" s="119"/>
      <c r="E22" s="119"/>
      <c r="F22" s="119"/>
      <c r="G22" s="119"/>
      <c r="H22" s="119"/>
      <c r="I22" s="119"/>
      <c r="J22" s="119"/>
      <c r="K22" s="119"/>
      <c r="L22" s="120"/>
      <c r="M22" s="116"/>
      <c r="N22" s="113"/>
    </row>
    <row r="23" spans="2:14" x14ac:dyDescent="0.4">
      <c r="B23" s="1550"/>
      <c r="C23" s="1551"/>
      <c r="D23" s="1551"/>
      <c r="E23" s="1551"/>
      <c r="F23" s="1551"/>
      <c r="G23" s="1551"/>
      <c r="H23" s="1551"/>
      <c r="I23" s="1551"/>
      <c r="J23" s="1551"/>
      <c r="K23" s="1551"/>
      <c r="L23" s="1552"/>
      <c r="M23" s="116"/>
      <c r="N23" s="113"/>
    </row>
    <row r="24" spans="2:14" x14ac:dyDescent="0.4">
      <c r="B24" s="1542"/>
      <c r="C24" s="1543"/>
      <c r="D24" s="1543"/>
      <c r="E24" s="1543"/>
      <c r="F24" s="1543"/>
      <c r="G24" s="1543"/>
      <c r="H24" s="1543"/>
      <c r="I24" s="1543"/>
      <c r="J24" s="1543"/>
      <c r="K24" s="1543"/>
      <c r="L24" s="1544"/>
      <c r="M24" s="116"/>
      <c r="N24" s="113"/>
    </row>
    <row r="25" spans="2:14" x14ac:dyDescent="0.4">
      <c r="B25" s="1542"/>
      <c r="C25" s="1543"/>
      <c r="D25" s="1543"/>
      <c r="E25" s="1543"/>
      <c r="F25" s="1543"/>
      <c r="G25" s="1543"/>
      <c r="H25" s="1543"/>
      <c r="I25" s="1543"/>
      <c r="J25" s="1543"/>
      <c r="K25" s="1543"/>
      <c r="L25" s="1544"/>
      <c r="M25" s="116"/>
      <c r="N25" s="113"/>
    </row>
    <row r="26" spans="2:14" x14ac:dyDescent="0.4">
      <c r="B26" s="1553"/>
      <c r="C26" s="1554"/>
      <c r="D26" s="1554"/>
      <c r="E26" s="1554"/>
      <c r="F26" s="1554"/>
      <c r="G26" s="1554"/>
      <c r="H26" s="1554"/>
      <c r="I26" s="1554"/>
      <c r="J26" s="1554"/>
      <c r="K26" s="1554"/>
      <c r="L26" s="1555"/>
      <c r="M26" s="116"/>
      <c r="N26" s="113"/>
    </row>
    <row r="27" spans="2:14" x14ac:dyDescent="0.4">
      <c r="B27" s="118"/>
      <c r="C27" s="119"/>
      <c r="D27" s="119"/>
      <c r="E27" s="119"/>
      <c r="F27" s="119"/>
      <c r="G27" s="119"/>
      <c r="H27" s="119"/>
      <c r="I27" s="119"/>
      <c r="J27" s="119"/>
      <c r="K27" s="119"/>
      <c r="L27" s="120"/>
      <c r="M27" s="116"/>
      <c r="N27" s="113"/>
    </row>
    <row r="28" spans="2:14" x14ac:dyDescent="0.4">
      <c r="B28" s="1550"/>
      <c r="C28" s="1551"/>
      <c r="D28" s="1551"/>
      <c r="E28" s="1551"/>
      <c r="F28" s="1551"/>
      <c r="G28" s="1551"/>
      <c r="H28" s="1551"/>
      <c r="I28" s="1551"/>
      <c r="J28" s="1551"/>
      <c r="K28" s="1551"/>
      <c r="L28" s="1552"/>
      <c r="M28" s="116"/>
      <c r="N28" s="113"/>
    </row>
    <row r="29" spans="2:14" x14ac:dyDescent="0.4">
      <c r="B29" s="1542"/>
      <c r="C29" s="1543"/>
      <c r="D29" s="1543"/>
      <c r="E29" s="1543"/>
      <c r="F29" s="1543"/>
      <c r="G29" s="1543"/>
      <c r="H29" s="1543"/>
      <c r="I29" s="1543"/>
      <c r="J29" s="1543"/>
      <c r="K29" s="1543"/>
      <c r="L29" s="1544"/>
      <c r="M29" s="116"/>
      <c r="N29" s="113"/>
    </row>
    <row r="30" spans="2:14" x14ac:dyDescent="0.4">
      <c r="B30" s="1542"/>
      <c r="C30" s="1543"/>
      <c r="D30" s="1543"/>
      <c r="E30" s="1543"/>
      <c r="F30" s="1543"/>
      <c r="G30" s="1543"/>
      <c r="H30" s="1543"/>
      <c r="I30" s="1543"/>
      <c r="J30" s="1543"/>
      <c r="K30" s="1543"/>
      <c r="L30" s="1544"/>
      <c r="M30" s="116"/>
      <c r="N30" s="113"/>
    </row>
    <row r="31" spans="2:14" x14ac:dyDescent="0.4">
      <c r="B31" s="1553"/>
      <c r="C31" s="1554"/>
      <c r="D31" s="1554"/>
      <c r="E31" s="1554"/>
      <c r="F31" s="1554"/>
      <c r="G31" s="1554"/>
      <c r="H31" s="1554"/>
      <c r="I31" s="1554"/>
      <c r="J31" s="1554"/>
      <c r="K31" s="1554"/>
      <c r="L31" s="1555"/>
      <c r="M31" s="116"/>
      <c r="N31" s="113"/>
    </row>
    <row r="32" spans="2:14" x14ac:dyDescent="0.4">
      <c r="B32" s="118"/>
      <c r="C32" s="119"/>
      <c r="D32" s="119"/>
      <c r="E32" s="119"/>
      <c r="F32" s="119"/>
      <c r="G32" s="119"/>
      <c r="H32" s="119"/>
      <c r="I32" s="119"/>
      <c r="J32" s="119"/>
      <c r="K32" s="119"/>
      <c r="L32" s="120"/>
      <c r="M32" s="116"/>
      <c r="N32" s="113"/>
    </row>
    <row r="33" spans="2:14" x14ac:dyDescent="0.4">
      <c r="B33" s="1550"/>
      <c r="C33" s="1551"/>
      <c r="D33" s="1551"/>
      <c r="E33" s="1551"/>
      <c r="F33" s="1551"/>
      <c r="G33" s="1551"/>
      <c r="H33" s="1551"/>
      <c r="I33" s="1551"/>
      <c r="J33" s="1551"/>
      <c r="K33" s="1551"/>
      <c r="L33" s="1552"/>
      <c r="M33" s="116"/>
      <c r="N33" s="113"/>
    </row>
    <row r="34" spans="2:14" x14ac:dyDescent="0.4">
      <c r="B34" s="1542"/>
      <c r="C34" s="1543"/>
      <c r="D34" s="1543"/>
      <c r="E34" s="1543"/>
      <c r="F34" s="1543"/>
      <c r="G34" s="1543"/>
      <c r="H34" s="1543"/>
      <c r="I34" s="1543"/>
      <c r="J34" s="1543"/>
      <c r="K34" s="1543"/>
      <c r="L34" s="1544"/>
      <c r="M34" s="116"/>
      <c r="N34" s="113"/>
    </row>
    <row r="35" spans="2:14" x14ac:dyDescent="0.4">
      <c r="B35" s="1542"/>
      <c r="C35" s="1543"/>
      <c r="D35" s="1543"/>
      <c r="E35" s="1543"/>
      <c r="F35" s="1543"/>
      <c r="G35" s="1543"/>
      <c r="H35" s="1543"/>
      <c r="I35" s="1543"/>
      <c r="J35" s="1543"/>
      <c r="K35" s="1543"/>
      <c r="L35" s="1544"/>
      <c r="M35" s="116"/>
      <c r="N35" s="113"/>
    </row>
    <row r="36" spans="2:14" x14ac:dyDescent="0.4">
      <c r="B36" s="1553"/>
      <c r="C36" s="1554"/>
      <c r="D36" s="1554"/>
      <c r="E36" s="1554"/>
      <c r="F36" s="1554"/>
      <c r="G36" s="1554"/>
      <c r="H36" s="1554"/>
      <c r="I36" s="1554"/>
      <c r="J36" s="1554"/>
      <c r="K36" s="1554"/>
      <c r="L36" s="1555"/>
      <c r="M36" s="116"/>
      <c r="N36" s="113"/>
    </row>
    <row r="37" spans="2:14" x14ac:dyDescent="0.4">
      <c r="B37" s="118"/>
      <c r="C37" s="119"/>
      <c r="D37" s="119"/>
      <c r="E37" s="119"/>
      <c r="F37" s="119"/>
      <c r="G37" s="119"/>
      <c r="H37" s="119"/>
      <c r="I37" s="119"/>
      <c r="J37" s="119"/>
      <c r="K37" s="119"/>
      <c r="L37" s="120"/>
      <c r="M37" s="116"/>
      <c r="N37" s="113"/>
    </row>
    <row r="38" spans="2:14" x14ac:dyDescent="0.4">
      <c r="B38" s="1550"/>
      <c r="C38" s="1551"/>
      <c r="D38" s="1551"/>
      <c r="E38" s="1551"/>
      <c r="F38" s="1551"/>
      <c r="G38" s="1551"/>
      <c r="H38" s="1551"/>
      <c r="I38" s="1551"/>
      <c r="J38" s="1551"/>
      <c r="K38" s="1551"/>
      <c r="L38" s="1552"/>
      <c r="M38" s="116"/>
      <c r="N38" s="113"/>
    </row>
    <row r="39" spans="2:14" x14ac:dyDescent="0.4">
      <c r="B39" s="1542"/>
      <c r="C39" s="1543"/>
      <c r="D39" s="1543"/>
      <c r="E39" s="1543"/>
      <c r="F39" s="1543"/>
      <c r="G39" s="1543"/>
      <c r="H39" s="1543"/>
      <c r="I39" s="1543"/>
      <c r="J39" s="1543"/>
      <c r="K39" s="1543"/>
      <c r="L39" s="1544"/>
      <c r="M39" s="116"/>
      <c r="N39" s="113"/>
    </row>
    <row r="40" spans="2:14" x14ac:dyDescent="0.4">
      <c r="B40" s="1542"/>
      <c r="C40" s="1543"/>
      <c r="D40" s="1543"/>
      <c r="E40" s="1543"/>
      <c r="F40" s="1543"/>
      <c r="G40" s="1543"/>
      <c r="H40" s="1543"/>
      <c r="I40" s="1543"/>
      <c r="J40" s="1543"/>
      <c r="K40" s="1543"/>
      <c r="L40" s="1544"/>
      <c r="M40" s="116"/>
      <c r="N40" s="113"/>
    </row>
    <row r="41" spans="2:14" x14ac:dyDescent="0.4">
      <c r="B41" s="1553"/>
      <c r="C41" s="1554"/>
      <c r="D41" s="1554"/>
      <c r="E41" s="1554"/>
      <c r="F41" s="1554"/>
      <c r="G41" s="1554"/>
      <c r="H41" s="1554"/>
      <c r="I41" s="1554"/>
      <c r="J41" s="1554"/>
      <c r="K41" s="1554"/>
      <c r="L41" s="1555"/>
      <c r="M41" s="116"/>
      <c r="N41" s="113"/>
    </row>
    <row r="42" spans="2:14" x14ac:dyDescent="0.4">
      <c r="B42" s="118"/>
      <c r="C42" s="119"/>
      <c r="D42" s="119"/>
      <c r="E42" s="119"/>
      <c r="F42" s="119"/>
      <c r="G42" s="119"/>
      <c r="H42" s="119"/>
      <c r="I42" s="119"/>
      <c r="J42" s="119"/>
      <c r="K42" s="119"/>
      <c r="L42" s="120"/>
      <c r="M42" s="116"/>
      <c r="N42" s="113"/>
    </row>
    <row r="43" spans="2:14" x14ac:dyDescent="0.4">
      <c r="B43" s="1550"/>
      <c r="C43" s="1551"/>
      <c r="D43" s="1551"/>
      <c r="E43" s="1551"/>
      <c r="F43" s="1551"/>
      <c r="G43" s="1551"/>
      <c r="H43" s="1551"/>
      <c r="I43" s="1551"/>
      <c r="J43" s="1551"/>
      <c r="K43" s="1551"/>
      <c r="L43" s="1552"/>
      <c r="M43" s="116"/>
      <c r="N43" s="113"/>
    </row>
    <row r="44" spans="2:14" x14ac:dyDescent="0.4">
      <c r="B44" s="1542"/>
      <c r="C44" s="1543"/>
      <c r="D44" s="1543"/>
      <c r="E44" s="1543"/>
      <c r="F44" s="1543"/>
      <c r="G44" s="1543"/>
      <c r="H44" s="1543"/>
      <c r="I44" s="1543"/>
      <c r="J44" s="1543"/>
      <c r="K44" s="1543"/>
      <c r="L44" s="1544"/>
      <c r="M44" s="116"/>
      <c r="N44" s="113"/>
    </row>
    <row r="45" spans="2:14" x14ac:dyDescent="0.4">
      <c r="B45" s="1542"/>
      <c r="C45" s="1543"/>
      <c r="D45" s="1543"/>
      <c r="E45" s="1543"/>
      <c r="F45" s="1543"/>
      <c r="G45" s="1543"/>
      <c r="H45" s="1543"/>
      <c r="I45" s="1543"/>
      <c r="J45" s="1543"/>
      <c r="K45" s="1543"/>
      <c r="L45" s="1544"/>
      <c r="M45" s="116"/>
      <c r="N45" s="113"/>
    </row>
    <row r="46" spans="2:14" x14ac:dyDescent="0.4">
      <c r="B46" s="1553"/>
      <c r="C46" s="1554"/>
      <c r="D46" s="1554"/>
      <c r="E46" s="1554"/>
      <c r="F46" s="1554"/>
      <c r="G46" s="1554"/>
      <c r="H46" s="1554"/>
      <c r="I46" s="1554"/>
      <c r="J46" s="1554"/>
      <c r="K46" s="1554"/>
      <c r="L46" s="1555"/>
      <c r="M46" s="116"/>
      <c r="N46" s="113"/>
    </row>
    <row r="47" spans="2:14" x14ac:dyDescent="0.4">
      <c r="B47" s="118"/>
      <c r="C47" s="119"/>
      <c r="D47" s="119"/>
      <c r="E47" s="119"/>
      <c r="F47" s="119"/>
      <c r="G47" s="119"/>
      <c r="H47" s="119"/>
      <c r="I47" s="119"/>
      <c r="J47" s="119"/>
      <c r="K47" s="119"/>
      <c r="L47" s="120"/>
      <c r="M47" s="116"/>
      <c r="N47" s="113"/>
    </row>
    <row r="48" spans="2:14" x14ac:dyDescent="0.4">
      <c r="B48" s="1550"/>
      <c r="C48" s="1551"/>
      <c r="D48" s="1551"/>
      <c r="E48" s="1551"/>
      <c r="F48" s="1551"/>
      <c r="G48" s="1551"/>
      <c r="H48" s="1551"/>
      <c r="I48" s="1551"/>
      <c r="J48" s="1551"/>
      <c r="K48" s="1551"/>
      <c r="L48" s="1552"/>
      <c r="M48" s="116"/>
      <c r="N48" s="113"/>
    </row>
    <row r="49" spans="2:14" x14ac:dyDescent="0.4">
      <c r="B49" s="1542"/>
      <c r="C49" s="1543"/>
      <c r="D49" s="1543"/>
      <c r="E49" s="1543"/>
      <c r="F49" s="1543"/>
      <c r="G49" s="1543"/>
      <c r="H49" s="1543"/>
      <c r="I49" s="1543"/>
      <c r="J49" s="1543"/>
      <c r="K49" s="1543"/>
      <c r="L49" s="1544"/>
      <c r="M49" s="116"/>
      <c r="N49" s="113"/>
    </row>
    <row r="50" spans="2:14" x14ac:dyDescent="0.4">
      <c r="B50" s="1542"/>
      <c r="C50" s="1543"/>
      <c r="D50" s="1543"/>
      <c r="E50" s="1543"/>
      <c r="F50" s="1543"/>
      <c r="G50" s="1543"/>
      <c r="H50" s="1543"/>
      <c r="I50" s="1543"/>
      <c r="J50" s="1543"/>
      <c r="K50" s="1543"/>
      <c r="L50" s="1544"/>
      <c r="M50" s="116"/>
      <c r="N50" s="113"/>
    </row>
    <row r="51" spans="2:14" x14ac:dyDescent="0.4">
      <c r="B51" s="1553"/>
      <c r="C51" s="1554"/>
      <c r="D51" s="1554"/>
      <c r="E51" s="1554"/>
      <c r="F51" s="1554"/>
      <c r="G51" s="1554"/>
      <c r="H51" s="1554"/>
      <c r="I51" s="1554"/>
      <c r="J51" s="1554"/>
      <c r="K51" s="1554"/>
      <c r="L51" s="1555"/>
      <c r="M51" s="116"/>
      <c r="N51" s="113"/>
    </row>
    <row r="52" spans="2:14" x14ac:dyDescent="0.4">
      <c r="B52" s="115"/>
      <c r="C52" s="116"/>
      <c r="D52" s="116"/>
      <c r="E52" s="116"/>
      <c r="F52" s="116"/>
      <c r="G52" s="116"/>
      <c r="H52" s="116"/>
      <c r="I52" s="116"/>
      <c r="J52" s="116"/>
      <c r="K52" s="116"/>
      <c r="L52" s="117"/>
      <c r="M52" s="116"/>
      <c r="N52" s="113"/>
    </row>
    <row r="53" spans="2:14" x14ac:dyDescent="0.4">
      <c r="B53" s="1550"/>
      <c r="C53" s="1551"/>
      <c r="D53" s="1551"/>
      <c r="E53" s="1551"/>
      <c r="F53" s="1551"/>
      <c r="G53" s="1551"/>
      <c r="H53" s="1551"/>
      <c r="I53" s="1551"/>
      <c r="J53" s="1551"/>
      <c r="K53" s="1551"/>
      <c r="L53" s="1552"/>
      <c r="N53" s="113"/>
    </row>
    <row r="54" spans="2:14" x14ac:dyDescent="0.4">
      <c r="B54" s="1542"/>
      <c r="C54" s="1543"/>
      <c r="D54" s="1543"/>
      <c r="E54" s="1543"/>
      <c r="F54" s="1543"/>
      <c r="G54" s="1543"/>
      <c r="H54" s="1543"/>
      <c r="I54" s="1543"/>
      <c r="J54" s="1543"/>
      <c r="K54" s="1543"/>
      <c r="L54" s="1544"/>
      <c r="N54" s="113"/>
    </row>
    <row r="55" spans="2:14" x14ac:dyDescent="0.4">
      <c r="B55" s="1542"/>
      <c r="C55" s="1543"/>
      <c r="D55" s="1543"/>
      <c r="E55" s="1543"/>
      <c r="F55" s="1543"/>
      <c r="G55" s="1543"/>
      <c r="H55" s="1543"/>
      <c r="I55" s="1543"/>
      <c r="J55" s="1543"/>
      <c r="K55" s="1543"/>
      <c r="L55" s="1544"/>
      <c r="N55" s="113"/>
    </row>
    <row r="56" spans="2:14" x14ac:dyDescent="0.4">
      <c r="B56" s="1553"/>
      <c r="C56" s="1554"/>
      <c r="D56" s="1554"/>
      <c r="E56" s="1554"/>
      <c r="F56" s="1554"/>
      <c r="G56" s="1554"/>
      <c r="H56" s="1554"/>
      <c r="I56" s="1554"/>
      <c r="J56" s="1554"/>
      <c r="K56" s="1554"/>
      <c r="L56" s="1555"/>
      <c r="N56" s="113"/>
    </row>
    <row r="57" spans="2:14" x14ac:dyDescent="0.4">
      <c r="B57" s="115"/>
      <c r="C57" s="116"/>
      <c r="D57" s="116"/>
      <c r="E57" s="116"/>
      <c r="F57" s="116"/>
      <c r="G57" s="116"/>
      <c r="H57" s="116"/>
      <c r="I57" s="116"/>
      <c r="J57" s="116"/>
      <c r="K57" s="116"/>
      <c r="L57" s="117"/>
      <c r="N57" s="113"/>
    </row>
    <row r="58" spans="2:14" x14ac:dyDescent="0.4">
      <c r="B58" s="1550"/>
      <c r="C58" s="1551"/>
      <c r="D58" s="1551"/>
      <c r="E58" s="1551"/>
      <c r="F58" s="1551"/>
      <c r="G58" s="1551"/>
      <c r="H58" s="1551"/>
      <c r="I58" s="1551"/>
      <c r="J58" s="1551"/>
      <c r="K58" s="1551"/>
      <c r="L58" s="1552"/>
      <c r="N58" s="113"/>
    </row>
    <row r="59" spans="2:14" x14ac:dyDescent="0.4">
      <c r="B59" s="1542"/>
      <c r="C59" s="1543"/>
      <c r="D59" s="1543"/>
      <c r="E59" s="1543"/>
      <c r="F59" s="1543"/>
      <c r="G59" s="1543"/>
      <c r="H59" s="1543"/>
      <c r="I59" s="1543"/>
      <c r="J59" s="1543"/>
      <c r="K59" s="1543"/>
      <c r="L59" s="1544"/>
      <c r="N59" s="113"/>
    </row>
    <row r="60" spans="2:14" x14ac:dyDescent="0.4">
      <c r="B60" s="1542"/>
      <c r="C60" s="1543"/>
      <c r="D60" s="1543"/>
      <c r="E60" s="1543"/>
      <c r="F60" s="1543"/>
      <c r="G60" s="1543"/>
      <c r="H60" s="1543"/>
      <c r="I60" s="1543"/>
      <c r="J60" s="1543"/>
      <c r="K60" s="1543"/>
      <c r="L60" s="1544"/>
      <c r="N60" s="113"/>
    </row>
    <row r="61" spans="2:14" x14ac:dyDescent="0.4">
      <c r="B61" s="1553"/>
      <c r="C61" s="1554"/>
      <c r="D61" s="1554"/>
      <c r="E61" s="1554"/>
      <c r="F61" s="1554"/>
      <c r="G61" s="1554"/>
      <c r="H61" s="1554"/>
      <c r="I61" s="1554"/>
      <c r="J61" s="1554"/>
      <c r="K61" s="1554"/>
      <c r="L61" s="1555"/>
      <c r="N61" s="113"/>
    </row>
    <row r="62" spans="2:14" x14ac:dyDescent="0.4">
      <c r="B62" s="115"/>
      <c r="C62" s="116"/>
      <c r="D62" s="116"/>
      <c r="E62" s="116"/>
      <c r="F62" s="116"/>
      <c r="G62" s="116"/>
      <c r="H62" s="116"/>
      <c r="I62" s="116"/>
      <c r="J62" s="116"/>
      <c r="K62" s="116"/>
      <c r="L62" s="117"/>
      <c r="N62" s="113"/>
    </row>
    <row r="63" spans="2:14" x14ac:dyDescent="0.4">
      <c r="B63" s="1550"/>
      <c r="C63" s="1551"/>
      <c r="D63" s="1551"/>
      <c r="E63" s="1551"/>
      <c r="F63" s="1551"/>
      <c r="G63" s="1551"/>
      <c r="H63" s="1551"/>
      <c r="I63" s="1551"/>
      <c r="J63" s="1551"/>
      <c r="K63" s="1551"/>
      <c r="L63" s="1552"/>
      <c r="N63" s="113"/>
    </row>
    <row r="64" spans="2:14" x14ac:dyDescent="0.4">
      <c r="B64" s="1542"/>
      <c r="C64" s="1543"/>
      <c r="D64" s="1543"/>
      <c r="E64" s="1543"/>
      <c r="F64" s="1543"/>
      <c r="G64" s="1543"/>
      <c r="H64" s="1543"/>
      <c r="I64" s="1543"/>
      <c r="J64" s="1543"/>
      <c r="K64" s="1543"/>
      <c r="L64" s="1544"/>
      <c r="N64" s="113"/>
    </row>
    <row r="65" spans="2:14" x14ac:dyDescent="0.4">
      <c r="B65" s="1542"/>
      <c r="C65" s="1543"/>
      <c r="D65" s="1543"/>
      <c r="E65" s="1543"/>
      <c r="F65" s="1543"/>
      <c r="G65" s="1543"/>
      <c r="H65" s="1543"/>
      <c r="I65" s="1543"/>
      <c r="J65" s="1543"/>
      <c r="K65" s="1543"/>
      <c r="L65" s="1544"/>
      <c r="N65" s="113"/>
    </row>
    <row r="66" spans="2:14" x14ac:dyDescent="0.4">
      <c r="B66" s="1553"/>
      <c r="C66" s="1554"/>
      <c r="D66" s="1554"/>
      <c r="E66" s="1554"/>
      <c r="F66" s="1554"/>
      <c r="G66" s="1554"/>
      <c r="H66" s="1554"/>
      <c r="I66" s="1554"/>
      <c r="J66" s="1554"/>
      <c r="K66" s="1554"/>
      <c r="L66" s="1555"/>
      <c r="N66" s="113"/>
    </row>
    <row r="67" spans="2:14" x14ac:dyDescent="0.4">
      <c r="B67" s="115"/>
      <c r="C67" s="116"/>
      <c r="D67" s="116"/>
      <c r="E67" s="116"/>
      <c r="F67" s="116"/>
      <c r="G67" s="116"/>
      <c r="H67" s="116"/>
      <c r="I67" s="116"/>
      <c r="J67" s="116"/>
      <c r="K67" s="116"/>
      <c r="L67" s="117"/>
      <c r="N67" s="113"/>
    </row>
    <row r="68" spans="2:14" x14ac:dyDescent="0.4">
      <c r="B68" s="1550"/>
      <c r="C68" s="1551"/>
      <c r="D68" s="1551"/>
      <c r="E68" s="1551"/>
      <c r="F68" s="1551"/>
      <c r="G68" s="1551"/>
      <c r="H68" s="1551"/>
      <c r="I68" s="1551"/>
      <c r="J68" s="1551"/>
      <c r="K68" s="1551"/>
      <c r="L68" s="1552"/>
      <c r="N68" s="113"/>
    </row>
    <row r="69" spans="2:14" x14ac:dyDescent="0.4">
      <c r="B69" s="1542"/>
      <c r="C69" s="1543"/>
      <c r="D69" s="1543"/>
      <c r="E69" s="1543"/>
      <c r="F69" s="1543"/>
      <c r="G69" s="1543"/>
      <c r="H69" s="1543"/>
      <c r="I69" s="1543"/>
      <c r="J69" s="1543"/>
      <c r="K69" s="1543"/>
      <c r="L69" s="1544"/>
      <c r="N69" s="113"/>
    </row>
    <row r="70" spans="2:14" x14ac:dyDescent="0.4">
      <c r="B70" s="1542"/>
      <c r="C70" s="1543"/>
      <c r="D70" s="1543"/>
      <c r="E70" s="1543"/>
      <c r="F70" s="1543"/>
      <c r="G70" s="1543"/>
      <c r="H70" s="1543"/>
      <c r="I70" s="1543"/>
      <c r="J70" s="1543"/>
      <c r="K70" s="1543"/>
      <c r="L70" s="1544"/>
      <c r="N70" s="113"/>
    </row>
    <row r="71" spans="2:14" x14ac:dyDescent="0.4">
      <c r="B71" s="1553"/>
      <c r="C71" s="1554"/>
      <c r="D71" s="1554"/>
      <c r="E71" s="1554"/>
      <c r="F71" s="1554"/>
      <c r="G71" s="1554"/>
      <c r="H71" s="1554"/>
      <c r="I71" s="1554"/>
      <c r="J71" s="1554"/>
      <c r="K71" s="1554"/>
      <c r="L71" s="1555"/>
      <c r="N71" s="113"/>
    </row>
    <row r="72" spans="2:14" x14ac:dyDescent="0.4">
      <c r="B72" s="115"/>
      <c r="C72" s="116"/>
      <c r="D72" s="116"/>
      <c r="E72" s="116"/>
      <c r="F72" s="116"/>
      <c r="G72" s="116"/>
      <c r="H72" s="116"/>
      <c r="I72" s="116"/>
      <c r="J72" s="116"/>
      <c r="K72" s="116"/>
      <c r="L72" s="117"/>
      <c r="N72" s="113"/>
    </row>
    <row r="73" spans="2:14" x14ac:dyDescent="0.4">
      <c r="B73" s="1550"/>
      <c r="C73" s="1551"/>
      <c r="D73" s="1551"/>
      <c r="E73" s="1551"/>
      <c r="F73" s="1551"/>
      <c r="G73" s="1551"/>
      <c r="H73" s="1551"/>
      <c r="I73" s="1551"/>
      <c r="J73" s="1551"/>
      <c r="K73" s="1551"/>
      <c r="L73" s="1552"/>
      <c r="N73" s="113"/>
    </row>
    <row r="74" spans="2:14" x14ac:dyDescent="0.4">
      <c r="B74" s="1542"/>
      <c r="C74" s="1543"/>
      <c r="D74" s="1543"/>
      <c r="E74" s="1543"/>
      <c r="F74" s="1543"/>
      <c r="G74" s="1543"/>
      <c r="H74" s="1543"/>
      <c r="I74" s="1543"/>
      <c r="J74" s="1543"/>
      <c r="K74" s="1543"/>
      <c r="L74" s="1544"/>
      <c r="N74" s="113"/>
    </row>
    <row r="75" spans="2:14" x14ac:dyDescent="0.4">
      <c r="B75" s="1542"/>
      <c r="C75" s="1543"/>
      <c r="D75" s="1543"/>
      <c r="E75" s="1543"/>
      <c r="F75" s="1543"/>
      <c r="G75" s="1543"/>
      <c r="H75" s="1543"/>
      <c r="I75" s="1543"/>
      <c r="J75" s="1543"/>
      <c r="K75" s="1543"/>
      <c r="L75" s="1544"/>
      <c r="N75" s="113"/>
    </row>
    <row r="76" spans="2:14" x14ac:dyDescent="0.4">
      <c r="B76" s="1553"/>
      <c r="C76" s="1554"/>
      <c r="D76" s="1554"/>
      <c r="E76" s="1554"/>
      <c r="F76" s="1554"/>
      <c r="G76" s="1554"/>
      <c r="H76" s="1554"/>
      <c r="I76" s="1554"/>
      <c r="J76" s="1554"/>
      <c r="K76" s="1554"/>
      <c r="L76" s="1555"/>
      <c r="N76" s="113"/>
    </row>
    <row r="77" spans="2:14" x14ac:dyDescent="0.4">
      <c r="B77" s="115"/>
      <c r="C77" s="116"/>
      <c r="D77" s="116"/>
      <c r="E77" s="116"/>
      <c r="F77" s="116"/>
      <c r="G77" s="116"/>
      <c r="H77" s="116"/>
      <c r="I77" s="116"/>
      <c r="J77" s="116"/>
      <c r="K77" s="116"/>
      <c r="L77" s="117"/>
      <c r="N77" s="113"/>
    </row>
    <row r="78" spans="2:14" x14ac:dyDescent="0.4">
      <c r="B78" s="1550"/>
      <c r="C78" s="1551"/>
      <c r="D78" s="1551"/>
      <c r="E78" s="1551"/>
      <c r="F78" s="1551"/>
      <c r="G78" s="1551"/>
      <c r="H78" s="1551"/>
      <c r="I78" s="1551"/>
      <c r="J78" s="1551"/>
      <c r="K78" s="1551"/>
      <c r="L78" s="1552"/>
      <c r="N78" s="113"/>
    </row>
    <row r="79" spans="2:14" x14ac:dyDescent="0.4">
      <c r="B79" s="1542"/>
      <c r="C79" s="1543"/>
      <c r="D79" s="1543"/>
      <c r="E79" s="1543"/>
      <c r="F79" s="1543"/>
      <c r="G79" s="1543"/>
      <c r="H79" s="1543"/>
      <c r="I79" s="1543"/>
      <c r="J79" s="1543"/>
      <c r="K79" s="1543"/>
      <c r="L79" s="1544"/>
      <c r="N79" s="113"/>
    </row>
    <row r="80" spans="2:14" x14ac:dyDescent="0.4">
      <c r="B80" s="1542"/>
      <c r="C80" s="1543"/>
      <c r="D80" s="1543"/>
      <c r="E80" s="1543"/>
      <c r="F80" s="1543"/>
      <c r="G80" s="1543"/>
      <c r="H80" s="1543"/>
      <c r="I80" s="1543"/>
      <c r="J80" s="1543"/>
      <c r="K80" s="1543"/>
      <c r="L80" s="1544"/>
      <c r="N80" s="113"/>
    </row>
    <row r="81" spans="1:14" x14ac:dyDescent="0.4">
      <c r="B81" s="1553"/>
      <c r="C81" s="1554"/>
      <c r="D81" s="1554"/>
      <c r="E81" s="1554"/>
      <c r="F81" s="1554"/>
      <c r="G81" s="1554"/>
      <c r="H81" s="1554"/>
      <c r="I81" s="1554"/>
      <c r="J81" s="1554"/>
      <c r="K81" s="1554"/>
      <c r="L81" s="1555"/>
      <c r="N81" s="113"/>
    </row>
    <row r="82" spans="1:14" x14ac:dyDescent="0.4">
      <c r="B82" s="115"/>
      <c r="C82" s="116"/>
      <c r="D82" s="116"/>
      <c r="E82" s="116"/>
      <c r="F82" s="116"/>
      <c r="G82" s="116"/>
      <c r="H82" s="116"/>
      <c r="I82" s="116"/>
      <c r="J82" s="116"/>
      <c r="K82" s="116"/>
      <c r="L82" s="117"/>
      <c r="N82" s="113"/>
    </row>
    <row r="83" spans="1:14" x14ac:dyDescent="0.4">
      <c r="B83" s="1550"/>
      <c r="C83" s="1551"/>
      <c r="D83" s="1551"/>
      <c r="E83" s="1551"/>
      <c r="F83" s="1551"/>
      <c r="G83" s="1551"/>
      <c r="H83" s="1551"/>
      <c r="I83" s="1551"/>
      <c r="J83" s="1551"/>
      <c r="K83" s="1551"/>
      <c r="L83" s="1552"/>
      <c r="N83" s="113"/>
    </row>
    <row r="84" spans="1:14" x14ac:dyDescent="0.4">
      <c r="B84" s="1542"/>
      <c r="C84" s="1543"/>
      <c r="D84" s="1543"/>
      <c r="E84" s="1543"/>
      <c r="F84" s="1543"/>
      <c r="G84" s="1543"/>
      <c r="H84" s="1543"/>
      <c r="I84" s="1543"/>
      <c r="J84" s="1543"/>
      <c r="K84" s="1543"/>
      <c r="L84" s="1544"/>
      <c r="N84" s="113"/>
    </row>
    <row r="85" spans="1:14" x14ac:dyDescent="0.4">
      <c r="B85" s="1542"/>
      <c r="C85" s="1543"/>
      <c r="D85" s="1543"/>
      <c r="E85" s="1543"/>
      <c r="F85" s="1543"/>
      <c r="G85" s="1543"/>
      <c r="H85" s="1543"/>
      <c r="I85" s="1543"/>
      <c r="J85" s="1543"/>
      <c r="K85" s="1543"/>
      <c r="L85" s="1544"/>
      <c r="N85" s="113"/>
    </row>
    <row r="86" spans="1:14" ht="16" thickBot="1" x14ac:dyDescent="0.45">
      <c r="B86" s="1545"/>
      <c r="C86" s="1546"/>
      <c r="D86" s="1546"/>
      <c r="E86" s="1546"/>
      <c r="F86" s="1546"/>
      <c r="G86" s="1546"/>
      <c r="H86" s="1546"/>
      <c r="I86" s="1546"/>
      <c r="J86" s="1546"/>
      <c r="K86" s="1546"/>
      <c r="L86" s="1547"/>
      <c r="N86" s="113"/>
    </row>
    <row r="87" spans="1:14" x14ac:dyDescent="0.4">
      <c r="N87" s="113"/>
    </row>
    <row r="88" spans="1:14" x14ac:dyDescent="0.4">
      <c r="A88" s="113"/>
      <c r="B88" s="113"/>
      <c r="C88" s="113"/>
      <c r="D88" s="113"/>
      <c r="E88" s="113"/>
      <c r="F88" s="113"/>
      <c r="G88" s="113"/>
      <c r="H88" s="113"/>
      <c r="I88" s="113"/>
      <c r="J88" s="113"/>
      <c r="K88" s="113"/>
      <c r="L88" s="113"/>
      <c r="M88" s="113"/>
      <c r="N88" s="113"/>
    </row>
  </sheetData>
  <sheetProtection algorithmName="SHA-512" hashValue="81Op+bTyvkOXm1wnscDgRv+K4L1cwxY7wiryo+h469HFDNhzYxzdtvur/PRPGrTLvBvsMZ/AmWf86RgWunl+UA==" saltValue="OxXDDoHR5Hwumaj63WE+Sg==" spinCount="100000" sheet="1" selectLockedCells="1"/>
  <mergeCells count="19">
    <mergeCell ref="B2:C2"/>
    <mergeCell ref="B48:L51"/>
    <mergeCell ref="B11:L11"/>
    <mergeCell ref="B13:L16"/>
    <mergeCell ref="B18:L21"/>
    <mergeCell ref="B23:L26"/>
    <mergeCell ref="B28:L31"/>
    <mergeCell ref="D3:F3"/>
    <mergeCell ref="H4:J4"/>
    <mergeCell ref="B33:L36"/>
    <mergeCell ref="B38:L41"/>
    <mergeCell ref="B43:L46"/>
    <mergeCell ref="B78:L81"/>
    <mergeCell ref="B83:L86"/>
    <mergeCell ref="B53:L56"/>
    <mergeCell ref="B58:L61"/>
    <mergeCell ref="B63:L66"/>
    <mergeCell ref="B68:L71"/>
    <mergeCell ref="B73:L76"/>
  </mergeCells>
  <phoneticPr fontId="29" type="noConversion"/>
  <hyperlinks>
    <hyperlink ref="H4" location="Instructions!C33" display="Back to Instructions tab" xr:uid="{00000000-0004-0000-0B00-000000000000}"/>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rgb="FF0070C0"/>
  </sheetPr>
  <dimension ref="A1:G20"/>
  <sheetViews>
    <sheetView showGridLines="0" zoomScale="80" zoomScaleNormal="80" workbookViewId="0">
      <selection activeCell="E4" sqref="E4"/>
    </sheetView>
  </sheetViews>
  <sheetFormatPr defaultColWidth="9" defaultRowHeight="15.5" x14ac:dyDescent="0.4"/>
  <cols>
    <col min="1" max="1" width="3.6328125" style="179" customWidth="1"/>
    <col min="2" max="2" width="28.453125" style="179" customWidth="1"/>
    <col min="3" max="3" width="35.7265625" style="179" customWidth="1"/>
    <col min="4" max="4" width="17.453125" style="179" customWidth="1"/>
    <col min="5" max="5" width="39.6328125" style="179" customWidth="1"/>
    <col min="6" max="6" width="3.90625" style="179" customWidth="1"/>
    <col min="7" max="7" width="3.36328125" style="179" customWidth="1"/>
    <col min="8" max="16384" width="9" style="179"/>
  </cols>
  <sheetData>
    <row r="1" spans="1:7" ht="17.25" customHeight="1" thickBot="1" x14ac:dyDescent="0.45">
      <c r="G1" s="180"/>
    </row>
    <row r="2" spans="1:7" ht="16" thickBot="1" x14ac:dyDescent="0.45">
      <c r="B2" s="1256" t="s">
        <v>236</v>
      </c>
      <c r="C2" s="1257"/>
      <c r="G2" s="180"/>
    </row>
    <row r="3" spans="1:7" x14ac:dyDescent="0.4">
      <c r="B3" s="214" t="s">
        <v>237</v>
      </c>
      <c r="C3" s="215" t="str">
        <f>'Version Control'!C3</f>
        <v>Consumer Boiler</v>
      </c>
      <c r="G3" s="180"/>
    </row>
    <row r="4" spans="1:7" ht="17" x14ac:dyDescent="0.45">
      <c r="B4" s="216" t="s">
        <v>119</v>
      </c>
      <c r="C4" s="217" t="str">
        <f>'Version Control'!C4</f>
        <v>v1.1</v>
      </c>
      <c r="E4" s="181" t="s">
        <v>126</v>
      </c>
      <c r="G4" s="180"/>
    </row>
    <row r="5" spans="1:7" x14ac:dyDescent="0.4">
      <c r="B5" s="216" t="s">
        <v>120</v>
      </c>
      <c r="C5" s="218">
        <f>'Version Control'!C5</f>
        <v>43721</v>
      </c>
      <c r="G5" s="180"/>
    </row>
    <row r="6" spans="1:7" x14ac:dyDescent="0.4">
      <c r="B6" s="219" t="s">
        <v>118</v>
      </c>
      <c r="C6" s="220" t="str">
        <f ca="1">MID(CELL("filename",A1), FIND("]", CELL("filename", A1))+ 1, 255)</f>
        <v>Report Sign-Off Block</v>
      </c>
      <c r="G6" s="180"/>
    </row>
    <row r="7" spans="1:7" x14ac:dyDescent="0.4">
      <c r="B7" s="221" t="s">
        <v>117</v>
      </c>
      <c r="C7" s="222" t="str">
        <f ca="1">'Version Control'!C7</f>
        <v>Consumer Boiler - v1.1.xlsx</v>
      </c>
      <c r="G7" s="180"/>
    </row>
    <row r="8" spans="1:7" ht="16" thickBot="1" x14ac:dyDescent="0.45">
      <c r="B8" s="223" t="s">
        <v>121</v>
      </c>
      <c r="C8" s="224">
        <f>'Version Control'!C8</f>
        <v>0</v>
      </c>
      <c r="G8" s="180"/>
    </row>
    <row r="9" spans="1:7" x14ac:dyDescent="0.4">
      <c r="G9" s="180"/>
    </row>
    <row r="10" spans="1:7" ht="16" thickBot="1" x14ac:dyDescent="0.45">
      <c r="G10" s="180"/>
    </row>
    <row r="11" spans="1:7" ht="16" thickBot="1" x14ac:dyDescent="0.45">
      <c r="A11" s="182"/>
      <c r="B11" s="1561" t="s">
        <v>129</v>
      </c>
      <c r="C11" s="1562"/>
      <c r="D11" s="1562"/>
      <c r="E11" s="1563"/>
      <c r="G11" s="180"/>
    </row>
    <row r="12" spans="1:7" ht="25.5" customHeight="1" x14ac:dyDescent="0.4">
      <c r="A12" s="182"/>
      <c r="B12" s="1564" t="s">
        <v>130</v>
      </c>
      <c r="C12" s="1565"/>
      <c r="D12" s="1565"/>
      <c r="E12" s="1566"/>
      <c r="G12" s="180"/>
    </row>
    <row r="13" spans="1:7" ht="30" customHeight="1" x14ac:dyDescent="0.4">
      <c r="A13" s="182"/>
      <c r="B13" s="1567"/>
      <c r="C13" s="1568"/>
      <c r="D13" s="1568"/>
      <c r="E13" s="1569"/>
      <c r="G13" s="180"/>
    </row>
    <row r="14" spans="1:7" x14ac:dyDescent="0.4">
      <c r="A14" s="182"/>
      <c r="B14" s="1275" t="s">
        <v>131</v>
      </c>
      <c r="C14" s="1276"/>
      <c r="D14" s="80" t="s">
        <v>124</v>
      </c>
      <c r="E14" s="81" t="s">
        <v>132</v>
      </c>
      <c r="G14" s="180"/>
    </row>
    <row r="15" spans="1:7" x14ac:dyDescent="0.4">
      <c r="A15" s="182"/>
      <c r="B15" s="1277" t="s">
        <v>133</v>
      </c>
      <c r="C15" s="1278"/>
      <c r="D15" s="82">
        <f>'General Info &amp; Test Results'!C17</f>
        <v>0</v>
      </c>
      <c r="E15" s="490" t="s">
        <v>134</v>
      </c>
      <c r="G15" s="180"/>
    </row>
    <row r="16" spans="1:7" x14ac:dyDescent="0.4">
      <c r="A16" s="182"/>
      <c r="B16" s="1277" t="s">
        <v>135</v>
      </c>
      <c r="C16" s="1278"/>
      <c r="D16" s="84" t="s">
        <v>125</v>
      </c>
      <c r="E16" s="490" t="s">
        <v>134</v>
      </c>
      <c r="G16" s="180"/>
    </row>
    <row r="17" spans="1:7" x14ac:dyDescent="0.4">
      <c r="A17" s="182"/>
      <c r="B17" s="1277" t="s">
        <v>136</v>
      </c>
      <c r="C17" s="1278"/>
      <c r="D17" s="84" t="s">
        <v>125</v>
      </c>
      <c r="E17" s="490" t="s">
        <v>134</v>
      </c>
      <c r="G17" s="180"/>
    </row>
    <row r="18" spans="1:7" ht="16" thickBot="1" x14ac:dyDescent="0.45">
      <c r="A18" s="182"/>
      <c r="B18" s="1279" t="s">
        <v>136</v>
      </c>
      <c r="C18" s="1280"/>
      <c r="D18" s="85" t="s">
        <v>125</v>
      </c>
      <c r="E18" s="1235" t="s">
        <v>134</v>
      </c>
      <c r="G18" s="180"/>
    </row>
    <row r="19" spans="1:7" x14ac:dyDescent="0.4">
      <c r="G19" s="180"/>
    </row>
    <row r="20" spans="1:7" x14ac:dyDescent="0.4">
      <c r="A20" s="180"/>
      <c r="B20" s="180"/>
      <c r="C20" s="180"/>
      <c r="D20" s="180"/>
      <c r="E20" s="180"/>
      <c r="F20" s="180"/>
      <c r="G20" s="180"/>
    </row>
  </sheetData>
  <sheetProtection algorithmName="SHA-512" hashValue="7O8MsNDopHmsV5oMzcsgW0wQNmJpF1McrGNW/NUwd6mqvek56mVY/jqUPG+6PtUoP3RyF3uEuyuKuVAOo1tsOQ==" saltValue="Y4GdFarehiy7nzjf5MyFEw==" spinCount="100000" sheet="1" selectLockedCells="1"/>
  <mergeCells count="8">
    <mergeCell ref="B2:C2"/>
    <mergeCell ref="B18:C18"/>
    <mergeCell ref="B11:E11"/>
    <mergeCell ref="B12:E13"/>
    <mergeCell ref="B14:C14"/>
    <mergeCell ref="B15:C15"/>
    <mergeCell ref="B16:C16"/>
    <mergeCell ref="B17:C17"/>
  </mergeCells>
  <phoneticPr fontId="29" type="noConversion"/>
  <hyperlinks>
    <hyperlink ref="E4" location="Instructions!C33" display="Back to Instructions tab" xr:uid="{00000000-0004-0000-0C00-000000000000}"/>
  </hyperlinks>
  <pageMargins left="0.7" right="0.7" top="0.75" bottom="0.75" header="0.3" footer="0.3"/>
  <pageSetup orientation="portrait" horizontalDpi="200" verticalDpi="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R267"/>
  <sheetViews>
    <sheetView showGridLines="0" zoomScale="70" zoomScaleNormal="70" workbookViewId="0">
      <selection activeCell="H4" sqref="H4"/>
    </sheetView>
  </sheetViews>
  <sheetFormatPr defaultColWidth="9" defaultRowHeight="15.5" x14ac:dyDescent="0.4"/>
  <cols>
    <col min="1" max="1" width="3.6328125" style="10" customWidth="1"/>
    <col min="2" max="2" width="37.6328125" style="10" customWidth="1"/>
    <col min="3" max="3" width="36.90625" style="10" customWidth="1"/>
    <col min="4" max="4" width="22.36328125" style="10" customWidth="1"/>
    <col min="5" max="5" width="24.7265625" style="10" customWidth="1"/>
    <col min="6" max="6" width="13.6328125" style="10" customWidth="1"/>
    <col min="7" max="7" width="17.6328125" style="10" customWidth="1"/>
    <col min="8" max="8" width="23.7265625" style="10" bestFit="1" customWidth="1"/>
    <col min="9" max="9" width="31" style="10" customWidth="1"/>
    <col min="10" max="10" width="19.36328125" style="10" customWidth="1"/>
    <col min="11" max="11" width="24.36328125" style="10" customWidth="1"/>
    <col min="12" max="12" width="17.453125" style="10" customWidth="1"/>
    <col min="13" max="13" width="20" style="10" customWidth="1"/>
    <col min="14" max="14" width="11.36328125" style="10" customWidth="1"/>
    <col min="15" max="15" width="13.26953125" style="10" bestFit="1" customWidth="1"/>
    <col min="16" max="17" width="9" style="10"/>
    <col min="18" max="18" width="2.90625" style="10" customWidth="1"/>
    <col min="19" max="16384" width="9" style="10"/>
  </cols>
  <sheetData>
    <row r="1" spans="1:18" ht="17.25" customHeight="1" thickBot="1" x14ac:dyDescent="0.45">
      <c r="R1" s="193"/>
    </row>
    <row r="2" spans="1:18" ht="16" thickBot="1" x14ac:dyDescent="0.45">
      <c r="B2" s="1256" t="s">
        <v>236</v>
      </c>
      <c r="C2" s="1257"/>
      <c r="D2" s="225"/>
      <c r="E2" s="225"/>
      <c r="R2" s="193"/>
    </row>
    <row r="3" spans="1:18" x14ac:dyDescent="0.4">
      <c r="B3" s="214" t="s">
        <v>237</v>
      </c>
      <c r="C3" s="215" t="str">
        <f>'Version Control'!C3</f>
        <v>Consumer Boiler</v>
      </c>
      <c r="D3" s="226"/>
      <c r="E3" s="226"/>
      <c r="R3" s="193"/>
    </row>
    <row r="4" spans="1:18" ht="17" x14ac:dyDescent="0.45">
      <c r="B4" s="216" t="s">
        <v>119</v>
      </c>
      <c r="C4" s="217" t="str">
        <f>'Version Control'!C4</f>
        <v>v1.1</v>
      </c>
      <c r="D4" s="226"/>
      <c r="E4" s="226"/>
      <c r="H4" s="181" t="s">
        <v>126</v>
      </c>
      <c r="R4" s="193"/>
    </row>
    <row r="5" spans="1:18" x14ac:dyDescent="0.4">
      <c r="B5" s="216" t="s">
        <v>120</v>
      </c>
      <c r="C5" s="218">
        <f>'Version Control'!C5</f>
        <v>43721</v>
      </c>
      <c r="D5" s="226"/>
      <c r="E5" s="226"/>
      <c r="R5" s="193"/>
    </row>
    <row r="6" spans="1:18" x14ac:dyDescent="0.4">
      <c r="B6" s="219" t="s">
        <v>118</v>
      </c>
      <c r="C6" s="220" t="str">
        <f ca="1">MID(CELL("filename",A1), FIND("]", CELL("filename", A1))+ 1, 255)</f>
        <v>Drop-Downs and Tables</v>
      </c>
      <c r="D6" s="226"/>
      <c r="E6" s="226"/>
      <c r="R6" s="193"/>
    </row>
    <row r="7" spans="1:18" x14ac:dyDescent="0.4">
      <c r="B7" s="221" t="s">
        <v>117</v>
      </c>
      <c r="C7" s="222" t="str">
        <f ca="1">'Version Control'!C7</f>
        <v>Consumer Boiler - v1.1.xlsx</v>
      </c>
      <c r="D7" s="226"/>
      <c r="E7" s="226"/>
      <c r="R7" s="193"/>
    </row>
    <row r="8" spans="1:18" ht="16" thickBot="1" x14ac:dyDescent="0.45">
      <c r="B8" s="223" t="s">
        <v>121</v>
      </c>
      <c r="C8" s="224">
        <f>'Version Control'!C8</f>
        <v>0</v>
      </c>
      <c r="D8" s="213"/>
      <c r="E8" s="213"/>
      <c r="R8" s="193"/>
    </row>
    <row r="9" spans="1:18" ht="16" thickBot="1" x14ac:dyDescent="0.45">
      <c r="R9" s="193"/>
    </row>
    <row r="10" spans="1:18" ht="16" thickBot="1" x14ac:dyDescent="0.45">
      <c r="A10" s="678"/>
      <c r="B10" s="679" t="s">
        <v>84</v>
      </c>
      <c r="C10" s="349"/>
      <c r="D10" s="349"/>
      <c r="E10" s="349"/>
      <c r="F10" s="349"/>
      <c r="G10" s="349"/>
      <c r="H10" s="349"/>
      <c r="I10" s="349"/>
      <c r="J10" s="349"/>
      <c r="K10" s="349"/>
      <c r="L10" s="349"/>
      <c r="M10" s="349"/>
      <c r="N10" s="349"/>
      <c r="O10" s="349"/>
      <c r="P10" s="349"/>
      <c r="Q10" s="350"/>
      <c r="R10" s="193"/>
    </row>
    <row r="11" spans="1:18" x14ac:dyDescent="0.4">
      <c r="B11" s="23"/>
      <c r="R11" s="193"/>
    </row>
    <row r="12" spans="1:18" s="347" customFormat="1" ht="16" thickBot="1" x14ac:dyDescent="0.45">
      <c r="B12" s="670" t="s">
        <v>744</v>
      </c>
      <c r="N12" s="421"/>
      <c r="R12" s="422"/>
    </row>
    <row r="13" spans="1:18" x14ac:dyDescent="0.4">
      <c r="B13" s="671"/>
      <c r="N13" s="11"/>
      <c r="R13" s="193"/>
    </row>
    <row r="14" spans="1:18" x14ac:dyDescent="0.4">
      <c r="B14" s="672" t="s">
        <v>745</v>
      </c>
      <c r="N14" s="11"/>
      <c r="R14" s="193"/>
    </row>
    <row r="15" spans="1:18" ht="16" thickBot="1" x14ac:dyDescent="0.45">
      <c r="B15" s="673" t="s">
        <v>746</v>
      </c>
      <c r="L15" s="11"/>
      <c r="N15" s="11"/>
      <c r="R15" s="193"/>
    </row>
    <row r="16" spans="1:18" x14ac:dyDescent="0.4">
      <c r="B16" s="674"/>
      <c r="N16" s="11"/>
      <c r="R16" s="193"/>
    </row>
    <row r="17" spans="2:18" ht="16" thickBot="1" x14ac:dyDescent="0.45">
      <c r="B17" s="670" t="s">
        <v>756</v>
      </c>
      <c r="M17" s="11"/>
      <c r="N17" s="11"/>
      <c r="R17" s="193"/>
    </row>
    <row r="18" spans="2:18" x14ac:dyDescent="0.4">
      <c r="B18" s="671"/>
      <c r="M18" s="11"/>
      <c r="N18" s="11"/>
      <c r="R18" s="193"/>
    </row>
    <row r="19" spans="2:18" x14ac:dyDescent="0.4">
      <c r="B19" s="672" t="s">
        <v>18</v>
      </c>
      <c r="M19" s="11"/>
      <c r="N19" s="11"/>
      <c r="R19" s="193"/>
    </row>
    <row r="20" spans="2:18" x14ac:dyDescent="0.4">
      <c r="B20" s="672" t="s">
        <v>382</v>
      </c>
      <c r="N20" s="11"/>
      <c r="R20" s="193"/>
    </row>
    <row r="21" spans="2:18" ht="16" thickBot="1" x14ac:dyDescent="0.45">
      <c r="B21" s="673" t="s">
        <v>381</v>
      </c>
      <c r="N21" s="11"/>
      <c r="R21" s="193"/>
    </row>
    <row r="22" spans="2:18" x14ac:dyDescent="0.4">
      <c r="B22" s="674"/>
      <c r="N22" s="11"/>
      <c r="R22" s="193"/>
    </row>
    <row r="23" spans="2:18" ht="16" thickBot="1" x14ac:dyDescent="0.45">
      <c r="B23" s="670" t="s">
        <v>17</v>
      </c>
      <c r="L23" s="11"/>
      <c r="R23" s="193"/>
    </row>
    <row r="24" spans="2:18" x14ac:dyDescent="0.4">
      <c r="B24" s="671"/>
      <c r="L24" s="11"/>
      <c r="R24" s="193"/>
    </row>
    <row r="25" spans="2:18" x14ac:dyDescent="0.4">
      <c r="B25" s="672" t="s">
        <v>747</v>
      </c>
      <c r="L25" s="11"/>
      <c r="R25" s="193"/>
    </row>
    <row r="26" spans="2:18" ht="16" thickBot="1" x14ac:dyDescent="0.45">
      <c r="B26" s="673" t="s">
        <v>748</v>
      </c>
      <c r="L26" s="11"/>
      <c r="R26" s="193"/>
    </row>
    <row r="27" spans="2:18" x14ac:dyDescent="0.4">
      <c r="B27" s="674"/>
      <c r="L27" s="11"/>
      <c r="R27" s="193"/>
    </row>
    <row r="28" spans="2:18" ht="16" thickBot="1" x14ac:dyDescent="0.45">
      <c r="B28" s="670" t="s">
        <v>757</v>
      </c>
      <c r="C28" s="670" t="s">
        <v>766</v>
      </c>
      <c r="L28" s="11"/>
      <c r="R28" s="193"/>
    </row>
    <row r="29" spans="2:18" x14ac:dyDescent="0.4">
      <c r="B29" s="675"/>
      <c r="C29" s="24"/>
      <c r="L29" s="11"/>
      <c r="R29" s="193"/>
    </row>
    <row r="30" spans="2:18" x14ac:dyDescent="0.4">
      <c r="B30" s="676" t="s">
        <v>19</v>
      </c>
      <c r="C30" s="27" t="s">
        <v>40</v>
      </c>
      <c r="L30" s="11"/>
      <c r="R30" s="193"/>
    </row>
    <row r="31" spans="2:18" x14ac:dyDescent="0.4">
      <c r="B31" s="676" t="s">
        <v>749</v>
      </c>
      <c r="C31" s="27" t="s">
        <v>42</v>
      </c>
      <c r="L31" s="11"/>
      <c r="R31" s="193"/>
    </row>
    <row r="32" spans="2:18" ht="16" thickBot="1" x14ac:dyDescent="0.45">
      <c r="B32" s="677" t="s">
        <v>379</v>
      </c>
      <c r="C32" s="29" t="s">
        <v>429</v>
      </c>
      <c r="L32" s="11"/>
      <c r="R32" s="193"/>
    </row>
    <row r="33" spans="2:18" x14ac:dyDescent="0.4">
      <c r="B33" s="674"/>
      <c r="C33" s="29" t="s">
        <v>428</v>
      </c>
      <c r="L33" s="11"/>
      <c r="R33" s="193"/>
    </row>
    <row r="34" spans="2:18" x14ac:dyDescent="0.4">
      <c r="B34" s="674"/>
      <c r="C34" s="29" t="s">
        <v>377</v>
      </c>
      <c r="L34" s="11"/>
      <c r="R34" s="193"/>
    </row>
    <row r="35" spans="2:18" x14ac:dyDescent="0.4">
      <c r="B35" s="674"/>
      <c r="C35" s="29" t="s">
        <v>378</v>
      </c>
      <c r="L35" s="11"/>
      <c r="R35" s="193"/>
    </row>
    <row r="36" spans="2:18" ht="16" thickBot="1" x14ac:dyDescent="0.45">
      <c r="B36" s="674"/>
      <c r="C36" s="30" t="s">
        <v>379</v>
      </c>
      <c r="L36" s="11"/>
      <c r="R36" s="193"/>
    </row>
    <row r="37" spans="2:18" x14ac:dyDescent="0.4">
      <c r="B37" s="674"/>
      <c r="L37" s="11"/>
      <c r="R37" s="193"/>
    </row>
    <row r="38" spans="2:18" ht="16" thickBot="1" x14ac:dyDescent="0.45">
      <c r="B38" s="670" t="s">
        <v>758</v>
      </c>
      <c r="C38" s="347" t="s">
        <v>750</v>
      </c>
      <c r="D38" s="1240"/>
      <c r="E38" s="1241"/>
      <c r="L38" s="11"/>
      <c r="R38" s="193"/>
    </row>
    <row r="39" spans="2:18" x14ac:dyDescent="0.4">
      <c r="B39" s="671"/>
      <c r="C39" s="24"/>
      <c r="D39" s="1241"/>
      <c r="E39" s="1241"/>
      <c r="L39" s="11"/>
      <c r="R39" s="193"/>
    </row>
    <row r="40" spans="2:18" x14ac:dyDescent="0.4">
      <c r="B40" s="672" t="s">
        <v>380</v>
      </c>
      <c r="C40" s="27" t="s">
        <v>741</v>
      </c>
      <c r="D40" s="1241"/>
      <c r="E40" s="1241"/>
      <c r="L40" s="11"/>
      <c r="R40" s="193"/>
    </row>
    <row r="41" spans="2:18" ht="16" thickBot="1" x14ac:dyDescent="0.45">
      <c r="B41" s="673" t="s">
        <v>740</v>
      </c>
      <c r="C41" s="27" t="s">
        <v>751</v>
      </c>
      <c r="D41" s="1241"/>
      <c r="E41" s="1241"/>
      <c r="L41" s="11"/>
      <c r="R41" s="193"/>
    </row>
    <row r="42" spans="2:18" x14ac:dyDescent="0.4">
      <c r="C42" s="27" t="s">
        <v>742</v>
      </c>
      <c r="D42" s="1241"/>
      <c r="E42" s="1241"/>
      <c r="L42" s="11"/>
      <c r="R42" s="193"/>
    </row>
    <row r="43" spans="2:18" x14ac:dyDescent="0.4">
      <c r="C43" s="27" t="s">
        <v>743</v>
      </c>
      <c r="L43" s="11"/>
      <c r="R43" s="193"/>
    </row>
    <row r="44" spans="2:18" ht="16" thickBot="1" x14ac:dyDescent="0.45">
      <c r="C44" s="25" t="s">
        <v>752</v>
      </c>
      <c r="L44" s="11"/>
      <c r="R44" s="193"/>
    </row>
    <row r="45" spans="2:18" x14ac:dyDescent="0.4">
      <c r="C45" s="11"/>
      <c r="L45" s="11"/>
      <c r="R45" s="193"/>
    </row>
    <row r="46" spans="2:18" ht="16" thickBot="1" x14ac:dyDescent="0.45">
      <c r="B46" s="670" t="s">
        <v>767</v>
      </c>
      <c r="C46" s="11"/>
      <c r="L46" s="11"/>
      <c r="R46" s="193"/>
    </row>
    <row r="47" spans="2:18" x14ac:dyDescent="0.4">
      <c r="B47" s="671"/>
      <c r="C47" s="11"/>
      <c r="L47" s="11"/>
      <c r="R47" s="193"/>
    </row>
    <row r="48" spans="2:18" x14ac:dyDescent="0.4">
      <c r="B48" s="672" t="s">
        <v>741</v>
      </c>
      <c r="C48" s="11"/>
      <c r="L48" s="11"/>
      <c r="R48" s="193"/>
    </row>
    <row r="49" spans="2:18" x14ac:dyDescent="0.4">
      <c r="B49" s="672" t="s">
        <v>765</v>
      </c>
      <c r="C49" s="11"/>
      <c r="L49" s="11"/>
      <c r="R49" s="193"/>
    </row>
    <row r="50" spans="2:18" ht="16" thickBot="1" x14ac:dyDescent="0.45">
      <c r="B50" s="673" t="s">
        <v>21</v>
      </c>
      <c r="C50" s="11"/>
      <c r="L50" s="11"/>
      <c r="R50" s="193"/>
    </row>
    <row r="51" spans="2:18" x14ac:dyDescent="0.4">
      <c r="C51" s="11"/>
      <c r="L51" s="11"/>
      <c r="R51" s="193"/>
    </row>
    <row r="52" spans="2:18" ht="16" thickBot="1" x14ac:dyDescent="0.45">
      <c r="B52" s="670" t="s">
        <v>759</v>
      </c>
      <c r="C52" s="11"/>
      <c r="L52" s="11"/>
      <c r="R52" s="193"/>
    </row>
    <row r="53" spans="2:18" x14ac:dyDescent="0.4">
      <c r="B53" s="24"/>
      <c r="C53" s="11"/>
      <c r="L53" s="11"/>
      <c r="R53" s="193"/>
    </row>
    <row r="54" spans="2:18" x14ac:dyDescent="0.4">
      <c r="B54" s="27" t="s">
        <v>741</v>
      </c>
      <c r="C54" s="11"/>
      <c r="L54" s="11"/>
      <c r="R54" s="193"/>
    </row>
    <row r="55" spans="2:18" x14ac:dyDescent="0.4">
      <c r="B55" s="27" t="s">
        <v>853</v>
      </c>
      <c r="C55" s="11"/>
      <c r="L55" s="11"/>
      <c r="R55" s="193"/>
    </row>
    <row r="56" spans="2:18" ht="16" thickBot="1" x14ac:dyDescent="0.45">
      <c r="B56" s="25" t="s">
        <v>760</v>
      </c>
      <c r="C56" s="11"/>
      <c r="L56" s="11"/>
      <c r="R56" s="193"/>
    </row>
    <row r="57" spans="2:18" x14ac:dyDescent="0.4">
      <c r="C57" s="11"/>
      <c r="L57" s="11"/>
      <c r="R57" s="193"/>
    </row>
    <row r="58" spans="2:18" ht="16" thickBot="1" x14ac:dyDescent="0.45">
      <c r="B58" s="670" t="s">
        <v>761</v>
      </c>
      <c r="C58" s="11"/>
      <c r="L58" s="11"/>
      <c r="R58" s="193"/>
    </row>
    <row r="59" spans="2:18" x14ac:dyDescent="0.4">
      <c r="B59" s="24"/>
      <c r="C59" s="11"/>
      <c r="L59" s="11"/>
      <c r="R59" s="193"/>
    </row>
    <row r="60" spans="2:18" x14ac:dyDescent="0.4">
      <c r="B60" s="29" t="s">
        <v>20</v>
      </c>
      <c r="C60" s="11"/>
      <c r="L60" s="11"/>
      <c r="R60" s="193"/>
    </row>
    <row r="61" spans="2:18" x14ac:dyDescent="0.4">
      <c r="B61" s="29" t="s">
        <v>337</v>
      </c>
      <c r="C61" s="11"/>
      <c r="L61" s="11"/>
      <c r="R61" s="193"/>
    </row>
    <row r="62" spans="2:18" x14ac:dyDescent="0.4">
      <c r="B62" s="29" t="s">
        <v>401</v>
      </c>
      <c r="C62" s="11"/>
      <c r="L62" s="11"/>
      <c r="R62" s="193"/>
    </row>
    <row r="63" spans="2:18" x14ac:dyDescent="0.4">
      <c r="B63" s="29" t="s">
        <v>402</v>
      </c>
      <c r="C63" s="11"/>
      <c r="L63" s="11"/>
      <c r="R63" s="193"/>
    </row>
    <row r="64" spans="2:18" ht="16" thickBot="1" x14ac:dyDescent="0.45">
      <c r="B64" s="30" t="s">
        <v>327</v>
      </c>
      <c r="C64" s="11"/>
      <c r="L64" s="11"/>
      <c r="R64" s="193"/>
    </row>
    <row r="65" spans="2:18" x14ac:dyDescent="0.4">
      <c r="C65" s="11"/>
      <c r="L65" s="11"/>
      <c r="R65" s="193"/>
    </row>
    <row r="66" spans="2:18" ht="16" thickBot="1" x14ac:dyDescent="0.45">
      <c r="B66" s="670" t="s">
        <v>83</v>
      </c>
      <c r="C66" s="11"/>
      <c r="L66" s="11"/>
      <c r="R66" s="193"/>
    </row>
    <row r="67" spans="2:18" x14ac:dyDescent="0.4">
      <c r="B67" s="24"/>
      <c r="C67" s="11"/>
      <c r="L67" s="11"/>
      <c r="R67" s="193"/>
    </row>
    <row r="68" spans="2:18" x14ac:dyDescent="0.4">
      <c r="B68" s="27" t="s">
        <v>20</v>
      </c>
      <c r="C68" s="11"/>
      <c r="L68" s="11"/>
      <c r="R68" s="193"/>
    </row>
    <row r="69" spans="2:18" x14ac:dyDescent="0.4">
      <c r="B69" s="27" t="s">
        <v>753</v>
      </c>
      <c r="C69" s="11"/>
      <c r="L69" s="11"/>
      <c r="R69" s="193"/>
    </row>
    <row r="70" spans="2:18" x14ac:dyDescent="0.4">
      <c r="B70" s="27" t="s">
        <v>754</v>
      </c>
      <c r="C70" s="11"/>
      <c r="L70" s="11"/>
      <c r="R70" s="193"/>
    </row>
    <row r="71" spans="2:18" ht="16" thickBot="1" x14ac:dyDescent="0.45">
      <c r="B71" s="25" t="s">
        <v>755</v>
      </c>
      <c r="C71" s="11"/>
      <c r="L71" s="11"/>
      <c r="R71" s="193"/>
    </row>
    <row r="72" spans="2:18" x14ac:dyDescent="0.4">
      <c r="C72" s="11"/>
      <c r="L72" s="11"/>
      <c r="R72" s="193"/>
    </row>
    <row r="73" spans="2:18" ht="16" thickBot="1" x14ac:dyDescent="0.45">
      <c r="B73" s="670" t="s">
        <v>26</v>
      </c>
      <c r="C73" s="10" t="s">
        <v>764</v>
      </c>
      <c r="D73" s="670" t="s">
        <v>386</v>
      </c>
      <c r="L73" s="11"/>
      <c r="R73" s="193"/>
    </row>
    <row r="74" spans="2:18" x14ac:dyDescent="0.4">
      <c r="B74" s="24"/>
      <c r="C74" s="24"/>
      <c r="D74" s="24"/>
      <c r="L74" s="11"/>
      <c r="R74" s="193"/>
    </row>
    <row r="75" spans="2:18" x14ac:dyDescent="0.4">
      <c r="B75" s="27" t="s">
        <v>384</v>
      </c>
      <c r="C75" s="27" t="s">
        <v>741</v>
      </c>
      <c r="D75" s="27" t="s">
        <v>384</v>
      </c>
      <c r="L75" s="11"/>
      <c r="R75" s="193"/>
    </row>
    <row r="76" spans="2:18" ht="16" thickBot="1" x14ac:dyDescent="0.45">
      <c r="B76" s="27" t="s">
        <v>385</v>
      </c>
      <c r="C76" s="10" t="s">
        <v>211</v>
      </c>
      <c r="D76" s="25" t="s">
        <v>385</v>
      </c>
      <c r="L76" s="11"/>
      <c r="R76" s="193"/>
    </row>
    <row r="77" spans="2:18" ht="16" thickBot="1" x14ac:dyDescent="0.45">
      <c r="B77" s="25" t="s">
        <v>430</v>
      </c>
      <c r="C77" s="27" t="s">
        <v>762</v>
      </c>
      <c r="L77" s="11"/>
      <c r="R77" s="193"/>
    </row>
    <row r="78" spans="2:18" ht="16" thickBot="1" x14ac:dyDescent="0.45">
      <c r="C78" s="25" t="s">
        <v>763</v>
      </c>
      <c r="L78" s="11"/>
      <c r="R78" s="193"/>
    </row>
    <row r="79" spans="2:18" x14ac:dyDescent="0.4">
      <c r="C79" s="11"/>
      <c r="L79" s="11"/>
      <c r="R79" s="193"/>
    </row>
    <row r="80" spans="2:18" ht="16" thickBot="1" x14ac:dyDescent="0.45">
      <c r="B80" s="670" t="s">
        <v>22</v>
      </c>
      <c r="C80" s="11"/>
      <c r="L80" s="11"/>
      <c r="R80" s="193"/>
    </row>
    <row r="81" spans="2:18" x14ac:dyDescent="0.4">
      <c r="B81" s="671"/>
      <c r="C81" s="11"/>
      <c r="L81" s="11"/>
      <c r="R81" s="193"/>
    </row>
    <row r="82" spans="2:18" x14ac:dyDescent="0.4">
      <c r="B82" s="672" t="s">
        <v>23</v>
      </c>
      <c r="C82" s="11"/>
      <c r="L82" s="11"/>
      <c r="R82" s="193"/>
    </row>
    <row r="83" spans="2:18" x14ac:dyDescent="0.4">
      <c r="B83" s="672" t="s">
        <v>24</v>
      </c>
      <c r="C83" s="11"/>
      <c r="L83" s="11"/>
      <c r="R83" s="193"/>
    </row>
    <row r="84" spans="2:18" ht="16" thickBot="1" x14ac:dyDescent="0.45">
      <c r="B84" s="673" t="s">
        <v>25</v>
      </c>
      <c r="C84" s="11"/>
      <c r="L84" s="11"/>
      <c r="R84" s="193"/>
    </row>
    <row r="85" spans="2:18" x14ac:dyDescent="0.4">
      <c r="C85" s="11"/>
      <c r="L85" s="11"/>
      <c r="R85" s="193"/>
    </row>
    <row r="86" spans="2:18" ht="16" thickBot="1" x14ac:dyDescent="0.45">
      <c r="B86" s="670" t="s">
        <v>225</v>
      </c>
      <c r="C86" s="11"/>
      <c r="L86" s="11"/>
      <c r="R86" s="193"/>
    </row>
    <row r="87" spans="2:18" x14ac:dyDescent="0.4">
      <c r="B87" s="24"/>
      <c r="C87" s="11"/>
      <c r="L87" s="11"/>
      <c r="R87" s="193"/>
    </row>
    <row r="88" spans="2:18" x14ac:dyDescent="0.4">
      <c r="B88" s="29" t="s">
        <v>223</v>
      </c>
      <c r="C88" s="11"/>
      <c r="L88" s="11"/>
      <c r="R88" s="193"/>
    </row>
    <row r="89" spans="2:18" ht="16" thickBot="1" x14ac:dyDescent="0.45">
      <c r="B89" s="30" t="s">
        <v>224</v>
      </c>
      <c r="C89" s="11"/>
      <c r="L89" s="11"/>
      <c r="R89" s="193"/>
    </row>
    <row r="90" spans="2:18" x14ac:dyDescent="0.4">
      <c r="C90" s="11"/>
      <c r="L90" s="11"/>
      <c r="R90" s="193"/>
    </row>
    <row r="91" spans="2:18" ht="16" thickBot="1" x14ac:dyDescent="0.45">
      <c r="B91" s="670" t="s">
        <v>209</v>
      </c>
      <c r="C91" s="11"/>
      <c r="L91" s="11"/>
      <c r="R91" s="193"/>
    </row>
    <row r="92" spans="2:18" x14ac:dyDescent="0.4">
      <c r="B92" s="24"/>
      <c r="C92" s="11"/>
      <c r="L92" s="11"/>
      <c r="R92" s="193"/>
    </row>
    <row r="93" spans="2:18" x14ac:dyDescent="0.4">
      <c r="B93" s="29" t="s">
        <v>210</v>
      </c>
      <c r="C93" s="11"/>
      <c r="L93" s="11"/>
      <c r="R93" s="193"/>
    </row>
    <row r="94" spans="2:18" ht="16" thickBot="1" x14ac:dyDescent="0.45">
      <c r="B94" s="25" t="s">
        <v>211</v>
      </c>
      <c r="C94" s="11"/>
      <c r="L94" s="11"/>
      <c r="R94" s="193"/>
    </row>
    <row r="95" spans="2:18" x14ac:dyDescent="0.4">
      <c r="C95" s="11"/>
      <c r="L95" s="11"/>
      <c r="R95" s="193"/>
    </row>
    <row r="96" spans="2:18" ht="16" thickBot="1" x14ac:dyDescent="0.45">
      <c r="C96" s="11"/>
      <c r="L96" s="11"/>
      <c r="R96" s="193"/>
    </row>
    <row r="97" spans="1:18" ht="16" thickBot="1" x14ac:dyDescent="0.45">
      <c r="A97" s="678"/>
      <c r="B97" s="679" t="s">
        <v>390</v>
      </c>
      <c r="C97" s="349"/>
      <c r="D97" s="349"/>
      <c r="E97" s="349"/>
      <c r="F97" s="349"/>
      <c r="G97" s="349"/>
      <c r="H97" s="349"/>
      <c r="I97" s="349"/>
      <c r="J97" s="349"/>
      <c r="K97" s="349"/>
      <c r="L97" s="349"/>
      <c r="M97" s="349"/>
      <c r="N97" s="349"/>
      <c r="O97" s="349"/>
      <c r="P97" s="349"/>
      <c r="Q97" s="350"/>
      <c r="R97" s="193"/>
    </row>
    <row r="98" spans="1:18" ht="16" thickBot="1" x14ac:dyDescent="0.45">
      <c r="B98" s="23"/>
      <c r="R98" s="193"/>
    </row>
    <row r="99" spans="1:18" ht="16" thickBot="1" x14ac:dyDescent="0.45">
      <c r="B99" s="197" t="s">
        <v>216</v>
      </c>
      <c r="C99" s="198"/>
      <c r="D99" s="198"/>
      <c r="E99" s="198"/>
      <c r="F99" s="199"/>
      <c r="R99" s="193"/>
    </row>
    <row r="100" spans="1:18" x14ac:dyDescent="0.4">
      <c r="B100" s="1619" t="s">
        <v>28</v>
      </c>
      <c r="C100" s="1609" t="s">
        <v>220</v>
      </c>
      <c r="D100" s="1621" t="s">
        <v>29</v>
      </c>
      <c r="E100" s="1617" t="s">
        <v>27</v>
      </c>
      <c r="F100" s="1618"/>
      <c r="R100" s="193"/>
    </row>
    <row r="101" spans="1:18" ht="16" thickBot="1" x14ac:dyDescent="0.45">
      <c r="B101" s="1620"/>
      <c r="C101" s="1587"/>
      <c r="D101" s="1622"/>
      <c r="E101" s="375" t="s">
        <v>30</v>
      </c>
      <c r="F101" s="376" t="s">
        <v>31</v>
      </c>
      <c r="R101" s="193"/>
    </row>
    <row r="102" spans="1:18" x14ac:dyDescent="0.4">
      <c r="B102" s="374" t="s">
        <v>40</v>
      </c>
      <c r="C102" s="366">
        <v>1025</v>
      </c>
      <c r="D102" s="377">
        <v>0.65</v>
      </c>
      <c r="E102" s="378">
        <v>7</v>
      </c>
      <c r="F102" s="379">
        <v>10.5</v>
      </c>
      <c r="R102" s="193"/>
    </row>
    <row r="103" spans="1:18" x14ac:dyDescent="0.4">
      <c r="B103" s="1" t="s">
        <v>42</v>
      </c>
      <c r="C103" s="13">
        <v>535</v>
      </c>
      <c r="D103" s="15">
        <v>0.38</v>
      </c>
      <c r="E103" s="14">
        <v>3.5</v>
      </c>
      <c r="F103" s="3">
        <v>5.25</v>
      </c>
      <c r="R103" s="193"/>
    </row>
    <row r="104" spans="1:18" x14ac:dyDescent="0.4">
      <c r="B104" s="4" t="s">
        <v>429</v>
      </c>
      <c r="C104" s="13">
        <v>3175</v>
      </c>
      <c r="D104" s="15">
        <v>2</v>
      </c>
      <c r="E104" s="14">
        <v>11</v>
      </c>
      <c r="F104" s="2">
        <v>13</v>
      </c>
      <c r="R104" s="193"/>
    </row>
    <row r="105" spans="1:18" ht="16" thickBot="1" x14ac:dyDescent="0.45">
      <c r="B105" s="5" t="s">
        <v>428</v>
      </c>
      <c r="C105" s="6">
        <v>2500</v>
      </c>
      <c r="D105" s="7">
        <v>1.53</v>
      </c>
      <c r="E105" s="8">
        <v>11</v>
      </c>
      <c r="F105" s="9">
        <v>13</v>
      </c>
      <c r="R105" s="193"/>
    </row>
    <row r="106" spans="1:18" x14ac:dyDescent="0.4">
      <c r="R106" s="193"/>
    </row>
    <row r="107" spans="1:18" ht="16" thickBot="1" x14ac:dyDescent="0.45">
      <c r="R107" s="193"/>
    </row>
    <row r="108" spans="1:18" ht="16" thickBot="1" x14ac:dyDescent="0.45">
      <c r="B108" s="197" t="s">
        <v>267</v>
      </c>
      <c r="C108" s="198"/>
      <c r="D108" s="198"/>
      <c r="E108" s="198"/>
      <c r="F108" s="199"/>
      <c r="R108" s="193"/>
    </row>
    <row r="109" spans="1:18" x14ac:dyDescent="0.4">
      <c r="B109" s="1586" t="s">
        <v>268</v>
      </c>
      <c r="C109" s="1614" t="s">
        <v>271</v>
      </c>
      <c r="D109" s="1616"/>
      <c r="E109" s="1614" t="s">
        <v>272</v>
      </c>
      <c r="F109" s="1615"/>
      <c r="R109" s="193"/>
    </row>
    <row r="110" spans="1:18" ht="16" thickBot="1" x14ac:dyDescent="0.45">
      <c r="B110" s="1582"/>
      <c r="C110" s="348" t="s">
        <v>269</v>
      </c>
      <c r="D110" s="348" t="s">
        <v>270</v>
      </c>
      <c r="E110" s="348" t="s">
        <v>269</v>
      </c>
      <c r="F110" s="369" t="s">
        <v>270</v>
      </c>
      <c r="R110" s="193"/>
    </row>
    <row r="111" spans="1:18" x14ac:dyDescent="0.4">
      <c r="B111" s="374" t="s">
        <v>273</v>
      </c>
      <c r="C111" s="20">
        <v>38</v>
      </c>
      <c r="D111" s="20">
        <v>44</v>
      </c>
      <c r="E111" s="20">
        <v>30</v>
      </c>
      <c r="F111" s="21">
        <v>35</v>
      </c>
      <c r="R111" s="193"/>
    </row>
    <row r="112" spans="1:18" x14ac:dyDescent="0.4">
      <c r="B112" s="1" t="s">
        <v>274</v>
      </c>
      <c r="C112" s="18" t="s">
        <v>178</v>
      </c>
      <c r="D112" s="18" t="s">
        <v>178</v>
      </c>
      <c r="E112" s="18">
        <v>34</v>
      </c>
      <c r="F112" s="16">
        <v>37.9</v>
      </c>
      <c r="R112" s="193"/>
    </row>
    <row r="113" spans="2:18" ht="16" thickBot="1" x14ac:dyDescent="0.45">
      <c r="B113" s="357" t="s">
        <v>275</v>
      </c>
      <c r="C113" s="19">
        <v>0.1</v>
      </c>
      <c r="D113" s="19">
        <v>0.15</v>
      </c>
      <c r="E113" s="19">
        <v>0.2</v>
      </c>
      <c r="F113" s="17">
        <v>0.3</v>
      </c>
      <c r="R113" s="193"/>
    </row>
    <row r="114" spans="2:18" s="12" customFormat="1" x14ac:dyDescent="0.4">
      <c r="B114" s="342" t="s">
        <v>276</v>
      </c>
      <c r="C114" s="339"/>
      <c r="D114" s="339"/>
      <c r="E114" s="339"/>
      <c r="F114" s="343"/>
      <c r="R114" s="194"/>
    </row>
    <row r="115" spans="2:18" ht="16" thickBot="1" x14ac:dyDescent="0.45">
      <c r="B115" s="28" t="s">
        <v>277</v>
      </c>
      <c r="C115" s="26"/>
      <c r="D115" s="26"/>
      <c r="E115" s="26"/>
      <c r="F115" s="344"/>
      <c r="R115" s="193"/>
    </row>
    <row r="116" spans="2:18" x14ac:dyDescent="0.4">
      <c r="R116" s="193"/>
    </row>
    <row r="117" spans="2:18" ht="16" thickBot="1" x14ac:dyDescent="0.45">
      <c r="R117" s="193"/>
    </row>
    <row r="118" spans="2:18" ht="16" thickBot="1" x14ac:dyDescent="0.45">
      <c r="B118" s="197" t="s">
        <v>278</v>
      </c>
      <c r="C118" s="349"/>
      <c r="D118" s="349"/>
      <c r="E118" s="349"/>
      <c r="F118" s="349"/>
      <c r="G118" s="349"/>
      <c r="H118" s="349"/>
      <c r="I118" s="349"/>
      <c r="J118" s="349"/>
      <c r="K118" s="349"/>
      <c r="L118" s="349"/>
      <c r="M118" s="349"/>
      <c r="N118" s="349"/>
      <c r="O118" s="349"/>
      <c r="P118" s="350"/>
      <c r="R118" s="193"/>
    </row>
    <row r="119" spans="2:18" x14ac:dyDescent="0.4">
      <c r="B119" s="1582" t="s">
        <v>279</v>
      </c>
      <c r="C119" s="1587" t="s">
        <v>284</v>
      </c>
      <c r="D119" s="1587" t="s">
        <v>283</v>
      </c>
      <c r="E119" s="1587" t="s">
        <v>280</v>
      </c>
      <c r="F119" s="1587" t="s">
        <v>285</v>
      </c>
      <c r="G119" s="1585" t="s">
        <v>287</v>
      </c>
      <c r="H119" s="1585"/>
      <c r="I119" s="1585"/>
      <c r="J119" s="1585" t="s">
        <v>288</v>
      </c>
      <c r="K119" s="1585"/>
      <c r="L119" s="1585" t="s">
        <v>289</v>
      </c>
      <c r="M119" s="1585"/>
      <c r="N119" s="203" t="s">
        <v>290</v>
      </c>
      <c r="O119" s="1609" t="s">
        <v>291</v>
      </c>
      <c r="P119" s="204" t="s">
        <v>292</v>
      </c>
      <c r="R119" s="193"/>
    </row>
    <row r="120" spans="2:18" x14ac:dyDescent="0.4">
      <c r="B120" s="1582"/>
      <c r="C120" s="1588"/>
      <c r="D120" s="1588"/>
      <c r="E120" s="1588"/>
      <c r="F120" s="1588"/>
      <c r="G120" s="1600" t="s">
        <v>281</v>
      </c>
      <c r="H120" s="1600"/>
      <c r="I120" s="1600"/>
      <c r="J120" s="1612" t="s">
        <v>179</v>
      </c>
      <c r="K120" s="1613"/>
      <c r="L120" s="1612" t="s">
        <v>297</v>
      </c>
      <c r="M120" s="1613"/>
      <c r="N120" s="1584" t="s">
        <v>298</v>
      </c>
      <c r="O120" s="1587"/>
      <c r="P120" s="1610" t="s">
        <v>286</v>
      </c>
      <c r="R120" s="193"/>
    </row>
    <row r="121" spans="2:18" x14ac:dyDescent="0.4">
      <c r="B121" s="1582"/>
      <c r="C121" s="348" t="s">
        <v>281</v>
      </c>
      <c r="D121" s="348" t="s">
        <v>281</v>
      </c>
      <c r="E121" s="348" t="s">
        <v>282</v>
      </c>
      <c r="F121" s="348" t="s">
        <v>286</v>
      </c>
      <c r="G121" s="346" t="s">
        <v>293</v>
      </c>
      <c r="H121" s="1612" t="s">
        <v>294</v>
      </c>
      <c r="I121" s="1613"/>
      <c r="J121" s="1612" t="s">
        <v>295</v>
      </c>
      <c r="K121" s="1613"/>
      <c r="L121" s="1612" t="s">
        <v>296</v>
      </c>
      <c r="M121" s="1613"/>
      <c r="N121" s="1585"/>
      <c r="O121" s="1588"/>
      <c r="P121" s="1611"/>
      <c r="R121" s="193"/>
    </row>
    <row r="122" spans="2:18" ht="16" thickBot="1" x14ac:dyDescent="0.45">
      <c r="B122" s="1582"/>
      <c r="C122" s="348" t="s">
        <v>269</v>
      </c>
      <c r="D122" s="348" t="s">
        <v>270</v>
      </c>
      <c r="E122" s="348" t="s">
        <v>270</v>
      </c>
      <c r="F122" s="348" t="s">
        <v>270</v>
      </c>
      <c r="G122" s="348" t="s">
        <v>269</v>
      </c>
      <c r="H122" s="348" t="s">
        <v>269</v>
      </c>
      <c r="I122" s="348" t="s">
        <v>270</v>
      </c>
      <c r="J122" s="348" t="s">
        <v>269</v>
      </c>
      <c r="K122" s="348" t="s">
        <v>270</v>
      </c>
      <c r="L122" s="348" t="s">
        <v>269</v>
      </c>
      <c r="M122" s="348" t="s">
        <v>270</v>
      </c>
      <c r="N122" s="348" t="s">
        <v>269</v>
      </c>
      <c r="O122" s="348" t="s">
        <v>270</v>
      </c>
      <c r="P122" s="369" t="s">
        <v>270</v>
      </c>
      <c r="R122" s="193"/>
    </row>
    <row r="123" spans="2:18" ht="46.5" x14ac:dyDescent="0.4">
      <c r="B123" s="372" t="s">
        <v>299</v>
      </c>
      <c r="C123" s="20">
        <v>100</v>
      </c>
      <c r="D123" s="20">
        <v>0</v>
      </c>
      <c r="E123" s="20" t="s">
        <v>301</v>
      </c>
      <c r="F123" s="20">
        <v>0.15</v>
      </c>
      <c r="G123" s="20">
        <v>420</v>
      </c>
      <c r="H123" s="20" t="s">
        <v>178</v>
      </c>
      <c r="I123" s="20">
        <v>550</v>
      </c>
      <c r="J123" s="20" t="s">
        <v>178</v>
      </c>
      <c r="K123" s="20" t="s">
        <v>178</v>
      </c>
      <c r="L123" s="20">
        <v>1.4</v>
      </c>
      <c r="M123" s="20">
        <v>2.2000000000000002</v>
      </c>
      <c r="N123" s="20">
        <v>35</v>
      </c>
      <c r="O123" s="20" t="s">
        <v>302</v>
      </c>
      <c r="P123" s="21">
        <v>0.5</v>
      </c>
      <c r="R123" s="193"/>
    </row>
    <row r="124" spans="2:18" ht="47" thickBot="1" x14ac:dyDescent="0.45">
      <c r="B124" s="373" t="s">
        <v>300</v>
      </c>
      <c r="C124" s="19">
        <v>100</v>
      </c>
      <c r="D124" s="19">
        <v>20</v>
      </c>
      <c r="E124" s="19">
        <v>0.05</v>
      </c>
      <c r="F124" s="19">
        <v>0.35</v>
      </c>
      <c r="G124" s="19" t="s">
        <v>303</v>
      </c>
      <c r="H124" s="19">
        <v>540</v>
      </c>
      <c r="I124" s="19">
        <v>640</v>
      </c>
      <c r="J124" s="19">
        <v>32.6</v>
      </c>
      <c r="K124" s="19">
        <v>37.93</v>
      </c>
      <c r="L124" s="19">
        <v>2</v>
      </c>
      <c r="M124" s="19">
        <v>3.6</v>
      </c>
      <c r="N124" s="19">
        <v>30</v>
      </c>
      <c r="O124" s="19" t="s">
        <v>178</v>
      </c>
      <c r="P124" s="17">
        <v>0.5</v>
      </c>
      <c r="R124" s="193"/>
    </row>
    <row r="125" spans="2:18" x14ac:dyDescent="0.4">
      <c r="B125" s="341" t="s">
        <v>304</v>
      </c>
      <c r="C125" s="11"/>
      <c r="D125" s="11"/>
      <c r="E125" s="11"/>
      <c r="F125" s="11"/>
      <c r="G125" s="11"/>
      <c r="H125" s="11"/>
      <c r="I125" s="11"/>
      <c r="J125" s="11"/>
      <c r="K125" s="11"/>
      <c r="L125" s="11"/>
      <c r="M125" s="11"/>
      <c r="N125" s="11"/>
      <c r="O125" s="11"/>
      <c r="P125" s="345"/>
      <c r="R125" s="193"/>
    </row>
    <row r="126" spans="2:18" x14ac:dyDescent="0.4">
      <c r="B126" s="341" t="s">
        <v>305</v>
      </c>
      <c r="C126" s="11"/>
      <c r="D126" s="11"/>
      <c r="E126" s="11"/>
      <c r="F126" s="11"/>
      <c r="G126" s="11"/>
      <c r="H126" s="11"/>
      <c r="I126" s="11"/>
      <c r="J126" s="11"/>
      <c r="K126" s="11"/>
      <c r="L126" s="11"/>
      <c r="M126" s="11"/>
      <c r="N126" s="11"/>
      <c r="O126" s="11"/>
      <c r="P126" s="345"/>
      <c r="R126" s="193"/>
    </row>
    <row r="127" spans="2:18" x14ac:dyDescent="0.4">
      <c r="B127" s="341" t="s">
        <v>306</v>
      </c>
      <c r="C127" s="11"/>
      <c r="D127" s="11"/>
      <c r="E127" s="11"/>
      <c r="F127" s="11"/>
      <c r="G127" s="11"/>
      <c r="H127" s="11"/>
      <c r="I127" s="11"/>
      <c r="J127" s="11"/>
      <c r="K127" s="11"/>
      <c r="L127" s="11"/>
      <c r="M127" s="11"/>
      <c r="N127" s="11"/>
      <c r="O127" s="11"/>
      <c r="P127" s="345"/>
      <c r="R127" s="193"/>
    </row>
    <row r="128" spans="2:18" x14ac:dyDescent="0.4">
      <c r="B128" s="341" t="s">
        <v>307</v>
      </c>
      <c r="C128" s="11"/>
      <c r="D128" s="11"/>
      <c r="E128" s="11"/>
      <c r="F128" s="11"/>
      <c r="G128" s="11"/>
      <c r="H128" s="11"/>
      <c r="I128" s="11"/>
      <c r="J128" s="11"/>
      <c r="K128" s="11"/>
      <c r="L128" s="11"/>
      <c r="M128" s="11"/>
      <c r="N128" s="11"/>
      <c r="O128" s="11"/>
      <c r="P128" s="345"/>
      <c r="R128" s="193"/>
    </row>
    <row r="129" spans="2:18" x14ac:dyDescent="0.4">
      <c r="B129" s="341" t="s">
        <v>308</v>
      </c>
      <c r="C129" s="11"/>
      <c r="D129" s="11"/>
      <c r="E129" s="11"/>
      <c r="F129" s="11"/>
      <c r="G129" s="11"/>
      <c r="H129" s="11"/>
      <c r="I129" s="11"/>
      <c r="J129" s="11"/>
      <c r="K129" s="11"/>
      <c r="L129" s="11"/>
      <c r="M129" s="11"/>
      <c r="N129" s="11"/>
      <c r="O129" s="11"/>
      <c r="P129" s="345"/>
      <c r="R129" s="193"/>
    </row>
    <row r="130" spans="2:18" x14ac:dyDescent="0.4">
      <c r="B130" s="341" t="s">
        <v>309</v>
      </c>
      <c r="C130" s="11"/>
      <c r="D130" s="11"/>
      <c r="E130" s="11"/>
      <c r="F130" s="11"/>
      <c r="G130" s="11"/>
      <c r="H130" s="11"/>
      <c r="I130" s="11"/>
      <c r="J130" s="11"/>
      <c r="K130" s="11"/>
      <c r="L130" s="11"/>
      <c r="M130" s="11"/>
      <c r="N130" s="11"/>
      <c r="O130" s="11"/>
      <c r="P130" s="345"/>
      <c r="R130" s="193"/>
    </row>
    <row r="131" spans="2:18" ht="16" thickBot="1" x14ac:dyDescent="0.45">
      <c r="B131" s="28" t="s">
        <v>310</v>
      </c>
      <c r="C131" s="26"/>
      <c r="D131" s="26"/>
      <c r="E131" s="26"/>
      <c r="F131" s="26"/>
      <c r="G131" s="26"/>
      <c r="H131" s="26"/>
      <c r="I131" s="26"/>
      <c r="J131" s="26"/>
      <c r="K131" s="26"/>
      <c r="L131" s="26"/>
      <c r="M131" s="26"/>
      <c r="N131" s="26"/>
      <c r="O131" s="26"/>
      <c r="P131" s="344"/>
      <c r="R131" s="193"/>
    </row>
    <row r="132" spans="2:18" x14ac:dyDescent="0.4">
      <c r="R132" s="193"/>
    </row>
    <row r="133" spans="2:18" ht="16" thickBot="1" x14ac:dyDescent="0.45">
      <c r="R133" s="193"/>
    </row>
    <row r="134" spans="2:18" ht="16" thickBot="1" x14ac:dyDescent="0.45">
      <c r="B134" s="351" t="s">
        <v>314</v>
      </c>
      <c r="C134" s="352"/>
      <c r="D134" s="352"/>
      <c r="E134" s="352"/>
      <c r="F134" s="352"/>
      <c r="G134" s="353"/>
      <c r="R134" s="193"/>
    </row>
    <row r="135" spans="2:18" x14ac:dyDescent="0.4">
      <c r="B135" s="1595" t="s">
        <v>88</v>
      </c>
      <c r="C135" s="1596"/>
      <c r="D135" s="1588" t="s">
        <v>87</v>
      </c>
      <c r="E135" s="1588"/>
      <c r="F135" s="1588"/>
      <c r="G135" s="1593" t="s">
        <v>99</v>
      </c>
      <c r="R135" s="193"/>
    </row>
    <row r="136" spans="2:18" ht="62.5" thickBot="1" x14ac:dyDescent="0.45">
      <c r="B136" s="362" t="s">
        <v>65</v>
      </c>
      <c r="C136" s="348" t="s">
        <v>66</v>
      </c>
      <c r="D136" s="363" t="s">
        <v>311</v>
      </c>
      <c r="E136" s="363" t="s">
        <v>312</v>
      </c>
      <c r="F136" s="363" t="s">
        <v>313</v>
      </c>
      <c r="G136" s="1594"/>
      <c r="R136" s="193"/>
    </row>
    <row r="137" spans="2:18" x14ac:dyDescent="0.4">
      <c r="B137" s="365">
        <v>0</v>
      </c>
      <c r="C137" s="366">
        <v>55000</v>
      </c>
      <c r="D137" s="20">
        <v>0.38</v>
      </c>
      <c r="E137" s="20">
        <v>0.18</v>
      </c>
      <c r="F137" s="367">
        <v>0.18</v>
      </c>
      <c r="G137" s="368" t="str">
        <f>IF('General Info &amp; Test Results'!$C$29=MEDIAN(B137,'General Info &amp; Test Results'!$C$29,C137),"Yes","No")</f>
        <v>No</v>
      </c>
      <c r="R137" s="193"/>
    </row>
    <row r="138" spans="2:18" x14ac:dyDescent="0.4">
      <c r="B138" s="35">
        <v>55001</v>
      </c>
      <c r="C138" s="13">
        <v>80000</v>
      </c>
      <c r="D138" s="18">
        <v>0.38</v>
      </c>
      <c r="E138" s="355">
        <v>0.2</v>
      </c>
      <c r="F138" s="355">
        <v>0.2</v>
      </c>
      <c r="G138" s="201" t="str">
        <f>IF('General Info &amp; Test Results'!$C$29=MEDIAN(B138,'General Info &amp; Test Results'!$C$29,C138),"Yes","No")</f>
        <v>No</v>
      </c>
      <c r="R138" s="193"/>
    </row>
    <row r="139" spans="2:18" x14ac:dyDescent="0.4">
      <c r="B139" s="35">
        <v>80001</v>
      </c>
      <c r="C139" s="13">
        <v>100000</v>
      </c>
      <c r="D139" s="18">
        <v>0.38</v>
      </c>
      <c r="E139" s="18">
        <v>0.23</v>
      </c>
      <c r="F139" s="355">
        <v>0.23</v>
      </c>
      <c r="G139" s="201" t="str">
        <f>IF('General Info &amp; Test Results'!$C$29=MEDIAN(B139,'General Info &amp; Test Results'!$C$29,C139),"Yes","No")</f>
        <v>No</v>
      </c>
      <c r="R139" s="193"/>
    </row>
    <row r="140" spans="2:18" x14ac:dyDescent="0.4">
      <c r="B140" s="35">
        <v>100001</v>
      </c>
      <c r="C140" s="13">
        <v>200000</v>
      </c>
      <c r="D140" s="18">
        <v>0.48</v>
      </c>
      <c r="E140" s="18">
        <v>0.28000000000000003</v>
      </c>
      <c r="F140" s="355">
        <v>0.28000000000000003</v>
      </c>
      <c r="G140" s="201" t="str">
        <f>IF('General Info &amp; Test Results'!$C$29=MEDIAN(B140,'General Info &amp; Test Results'!$C$29,C140),"Yes","No")</f>
        <v>No</v>
      </c>
      <c r="R140" s="193"/>
    </row>
    <row r="141" spans="2:18" ht="16" thickBot="1" x14ac:dyDescent="0.45">
      <c r="B141" s="31">
        <v>200001</v>
      </c>
      <c r="C141" s="22">
        <v>300000</v>
      </c>
      <c r="D141" s="19">
        <v>0.57999999999999996</v>
      </c>
      <c r="E141" s="19">
        <v>0.33</v>
      </c>
      <c r="F141" s="356">
        <v>0.33</v>
      </c>
      <c r="G141" s="202" t="str">
        <f>IF('General Info &amp; Test Results'!$C$29=MEDIAN(B141,'General Info &amp; Test Results'!$C$29,C141),"Yes","No")</f>
        <v>No</v>
      </c>
      <c r="R141" s="193"/>
    </row>
    <row r="142" spans="2:18" ht="16" thickBot="1" x14ac:dyDescent="0.45">
      <c r="B142" s="28" t="s">
        <v>315</v>
      </c>
      <c r="C142" s="26"/>
      <c r="D142" s="26"/>
      <c r="E142" s="26"/>
      <c r="F142" s="26"/>
      <c r="G142" s="344"/>
      <c r="R142" s="193"/>
    </row>
    <row r="143" spans="2:18" x14ac:dyDescent="0.4">
      <c r="R143" s="193"/>
    </row>
    <row r="144" spans="2:18" ht="16" thickBot="1" x14ac:dyDescent="0.45">
      <c r="R144" s="193"/>
    </row>
    <row r="145" spans="2:18" ht="16" thickBot="1" x14ac:dyDescent="0.45">
      <c r="B145" s="351" t="s">
        <v>316</v>
      </c>
      <c r="C145" s="352"/>
      <c r="D145" s="353"/>
      <c r="R145" s="193"/>
    </row>
    <row r="146" spans="2:18" x14ac:dyDescent="0.4">
      <c r="B146" s="1598" t="s">
        <v>317</v>
      </c>
      <c r="C146" s="1585"/>
      <c r="D146" s="1593" t="s">
        <v>319</v>
      </c>
      <c r="R146" s="193"/>
    </row>
    <row r="147" spans="2:18" x14ac:dyDescent="0.4">
      <c r="B147" s="1599" t="s">
        <v>318</v>
      </c>
      <c r="C147" s="1600"/>
      <c r="D147" s="1601"/>
      <c r="R147" s="193"/>
    </row>
    <row r="148" spans="2:18" ht="16" thickBot="1" x14ac:dyDescent="0.45">
      <c r="B148" s="362" t="s">
        <v>65</v>
      </c>
      <c r="C148" s="348" t="s">
        <v>66</v>
      </c>
      <c r="D148" s="369" t="s">
        <v>320</v>
      </c>
      <c r="R148" s="193"/>
    </row>
    <row r="149" spans="2:18" ht="17.25" customHeight="1" x14ac:dyDescent="0.4">
      <c r="B149" s="370">
        <v>0</v>
      </c>
      <c r="C149" s="20">
        <v>849</v>
      </c>
      <c r="D149" s="371">
        <v>0.12</v>
      </c>
      <c r="R149" s="193"/>
    </row>
    <row r="150" spans="2:18" x14ac:dyDescent="0.4">
      <c r="B150" s="358">
        <v>850</v>
      </c>
      <c r="C150" s="18">
        <v>1599</v>
      </c>
      <c r="D150" s="359">
        <v>0.15</v>
      </c>
      <c r="R150" s="193"/>
    </row>
    <row r="151" spans="2:18" x14ac:dyDescent="0.4">
      <c r="B151" s="358">
        <v>1600</v>
      </c>
      <c r="C151" s="18">
        <v>2599</v>
      </c>
      <c r="D151" s="359">
        <v>0.2</v>
      </c>
      <c r="R151" s="193"/>
    </row>
    <row r="152" spans="2:18" ht="16" thickBot="1" x14ac:dyDescent="0.45">
      <c r="B152" s="360">
        <v>2600</v>
      </c>
      <c r="C152" s="19">
        <v>3999</v>
      </c>
      <c r="D152" s="361">
        <v>0.25</v>
      </c>
      <c r="R152" s="193"/>
    </row>
    <row r="153" spans="2:18" x14ac:dyDescent="0.4">
      <c r="R153" s="193"/>
    </row>
    <row r="154" spans="2:18" ht="16" thickBot="1" x14ac:dyDescent="0.45">
      <c r="R154" s="193"/>
    </row>
    <row r="155" spans="2:18" ht="16" thickBot="1" x14ac:dyDescent="0.45">
      <c r="B155" s="351" t="s">
        <v>321</v>
      </c>
      <c r="C155" s="352"/>
      <c r="D155" s="352"/>
      <c r="E155" s="352"/>
      <c r="F155" s="352"/>
      <c r="G155" s="352"/>
      <c r="H155" s="352"/>
      <c r="I155" s="352"/>
      <c r="J155" s="352"/>
      <c r="K155" s="353"/>
      <c r="R155" s="193"/>
    </row>
    <row r="156" spans="2:18" x14ac:dyDescent="0.4">
      <c r="B156" s="389" t="s">
        <v>322</v>
      </c>
      <c r="C156" s="11"/>
      <c r="D156" s="11"/>
      <c r="E156" s="11"/>
      <c r="F156" s="11"/>
      <c r="G156" s="11"/>
      <c r="H156" s="11"/>
      <c r="I156" s="11"/>
      <c r="J156" s="11"/>
      <c r="K156" s="11"/>
      <c r="L156" s="427" t="s">
        <v>39</v>
      </c>
      <c r="R156" s="193"/>
    </row>
    <row r="157" spans="2:18" ht="16" thickBot="1" x14ac:dyDescent="0.45">
      <c r="B157" s="385" t="s">
        <v>323</v>
      </c>
      <c r="C157" s="348">
        <v>1</v>
      </c>
      <c r="D157" s="348">
        <v>2</v>
      </c>
      <c r="E157" s="348">
        <v>3</v>
      </c>
      <c r="F157" s="348">
        <v>4</v>
      </c>
      <c r="G157" s="348">
        <v>5</v>
      </c>
      <c r="H157" s="348">
        <v>6</v>
      </c>
      <c r="I157" s="348">
        <v>8</v>
      </c>
      <c r="J157" s="348">
        <v>9</v>
      </c>
      <c r="K157" s="423">
        <v>10</v>
      </c>
      <c r="L157" s="425" t="str">
        <f xml:space="preserve">
IF(AND(L158="X",L159="",L160="",L161="X",L162="",L163="",L164="X",L165="",L166="X"),1,
IF(AND(L158="X",L159="",L160="",L161="X",L162="",L163="",L164="",L165="X",L166="X"),2,
IF(AND(L158="X",L159="",L160="X",L161="",L162="",L163="",L164="",L165="X",L166="X"),3,
IF(AND(L158="X",L159="",L160="",L161="",L162="X",L163="",L164="",L165="X",L166="X"),4,
IF(AND(L158="X",L159="",L160="",L161="X",L162="",L163="X",L164="X",L165="",L166=""),5,
IF(AND(L158="X",L159="",L160="",L161="X",L162="",L163="X",L164="",L165="X",L166=""),6,
IF(AND(L158="X",L159="",L160="",L161="",L162="X",L163="X",L164="",L165="X",L166=""),8,
IF(AND(L158="",L159="X",L163="",L164="X",L165="",L166="X"),9,
IF(AND(L158="",L159="X",L163="",L164="",L165="X",L166="X"),10,
"Product Characteristics not filled in correctly")))))))))</f>
        <v>Product Characteristics not filled in correctly</v>
      </c>
      <c r="R157" s="193"/>
    </row>
    <row r="158" spans="2:18" x14ac:dyDescent="0.4">
      <c r="B158" s="374" t="s">
        <v>324</v>
      </c>
      <c r="C158" s="20" t="s">
        <v>336</v>
      </c>
      <c r="D158" s="20" t="s">
        <v>336</v>
      </c>
      <c r="E158" s="20" t="s">
        <v>336</v>
      </c>
      <c r="F158" s="20" t="s">
        <v>336</v>
      </c>
      <c r="G158" s="20" t="s">
        <v>336</v>
      </c>
      <c r="H158" s="20" t="s">
        <v>336</v>
      </c>
      <c r="I158" s="20" t="s">
        <v>336</v>
      </c>
      <c r="J158" s="386"/>
      <c r="K158" s="417"/>
      <c r="L158" s="426" t="str">
        <f>IF(L159="X","","X")</f>
        <v>X</v>
      </c>
      <c r="R158" s="193"/>
    </row>
    <row r="159" spans="2:18" ht="32.25" customHeight="1" x14ac:dyDescent="0.4">
      <c r="B159" s="383" t="s">
        <v>325</v>
      </c>
      <c r="C159" s="381"/>
      <c r="D159" s="381"/>
      <c r="E159" s="381"/>
      <c r="F159" s="381"/>
      <c r="G159" s="381"/>
      <c r="H159" s="381"/>
      <c r="I159" s="381"/>
      <c r="J159" s="18" t="s">
        <v>336</v>
      </c>
      <c r="K159" s="418" t="s">
        <v>336</v>
      </c>
      <c r="L159" s="424" t="str">
        <f>IF(OR('General Info &amp; Test Results'!C47="Outdoor",'General Info &amp; Test Results'!C47="Isolated Combustion System",
'General Info &amp; Test Results'!C48="Yes. With Heat Exchange.",'General Info &amp; Test Results'!C48="Yes. Without Heat Exchange."),
"X","")</f>
        <v/>
      </c>
      <c r="R159" s="193"/>
    </row>
    <row r="160" spans="2:18" x14ac:dyDescent="0.4">
      <c r="B160" s="1" t="s">
        <v>337</v>
      </c>
      <c r="C160" s="381"/>
      <c r="D160" s="381"/>
      <c r="E160" s="18" t="s">
        <v>336</v>
      </c>
      <c r="F160" s="381"/>
      <c r="G160" s="381"/>
      <c r="H160" s="381"/>
      <c r="I160" s="381"/>
      <c r="J160" s="1602" t="s">
        <v>394</v>
      </c>
      <c r="K160" s="1603"/>
      <c r="L160" s="424" t="str">
        <f>IF('General Info &amp; Test Results'!$C$43="","Fill in General Info",IF('General Info &amp; Test Results'!$C$43="Direct Exhaust","X",""))</f>
        <v>Fill in General Info</v>
      </c>
      <c r="R160" s="193"/>
    </row>
    <row r="161" spans="2:18" x14ac:dyDescent="0.4">
      <c r="B161" s="1" t="s">
        <v>326</v>
      </c>
      <c r="C161" s="18" t="s">
        <v>336</v>
      </c>
      <c r="D161" s="18" t="s">
        <v>336</v>
      </c>
      <c r="E161" s="381"/>
      <c r="F161" s="381"/>
      <c r="G161" s="18" t="s">
        <v>336</v>
      </c>
      <c r="H161" s="18" t="s">
        <v>336</v>
      </c>
      <c r="I161" s="381"/>
      <c r="J161" s="1604"/>
      <c r="K161" s="1605"/>
      <c r="L161" s="424" t="str">
        <f>IF('General Info &amp; Test Results'!$C$43="","Fill in General Info",
IF(OR('General Info &amp; Test Results'!$C$43="Draft Hood",'General Info &amp; Test Results'!$C$43="Integral Draft Diverter"),"X",""))</f>
        <v>Fill in General Info</v>
      </c>
      <c r="R161" s="193"/>
    </row>
    <row r="162" spans="2:18" x14ac:dyDescent="0.4">
      <c r="B162" s="1" t="s">
        <v>327</v>
      </c>
      <c r="C162" s="381"/>
      <c r="D162" s="381"/>
      <c r="E162" s="381"/>
      <c r="F162" s="18" t="s">
        <v>336</v>
      </c>
      <c r="G162" s="381"/>
      <c r="H162" s="381"/>
      <c r="I162" s="18" t="s">
        <v>336</v>
      </c>
      <c r="J162" s="1606"/>
      <c r="K162" s="1607"/>
      <c r="L162" s="424" t="str">
        <f>IF('General Info &amp; Test Results'!$C$43="","Fill in General Info",IF('General Info &amp; Test Results'!$C$43="Barometric Draft Control","X",""))</f>
        <v>Fill in General Info</v>
      </c>
      <c r="R162" s="193"/>
    </row>
    <row r="163" spans="2:18" x14ac:dyDescent="0.4">
      <c r="B163" s="1" t="s">
        <v>328</v>
      </c>
      <c r="C163" s="381"/>
      <c r="D163" s="381"/>
      <c r="E163" s="381"/>
      <c r="F163" s="381"/>
      <c r="G163" s="18" t="s">
        <v>336</v>
      </c>
      <c r="H163" s="18" t="s">
        <v>336</v>
      </c>
      <c r="I163" s="18" t="s">
        <v>336</v>
      </c>
      <c r="J163" s="381"/>
      <c r="K163" s="419"/>
      <c r="L163" s="424" t="str">
        <f>IF('General Info &amp; Test Results'!$C$45="","Fill in General Info",IF('General Info &amp; Test Results'!$C$45="Yes","X",""))</f>
        <v>Fill in General Info</v>
      </c>
      <c r="R163" s="193"/>
    </row>
    <row r="164" spans="2:18" x14ac:dyDescent="0.4">
      <c r="B164" s="1" t="s">
        <v>329</v>
      </c>
      <c r="C164" s="18" t="s">
        <v>336</v>
      </c>
      <c r="D164" s="381"/>
      <c r="E164" s="381"/>
      <c r="F164" s="381"/>
      <c r="G164" s="18" t="s">
        <v>336</v>
      </c>
      <c r="H164" s="381"/>
      <c r="I164" s="381"/>
      <c r="J164" s="18" t="s">
        <v>336</v>
      </c>
      <c r="K164" s="419"/>
      <c r="L164" s="424" t="str">
        <f>IF('General Info &amp; Test Results'!$C$40="","Fill in General Info",IF('General Info &amp; Test Results'!$C$40="Atmospheric","X",""))</f>
        <v>Fill in General Info</v>
      </c>
      <c r="R164" s="193"/>
    </row>
    <row r="165" spans="2:18" x14ac:dyDescent="0.4">
      <c r="B165" s="1" t="s">
        <v>330</v>
      </c>
      <c r="C165" s="381"/>
      <c r="D165" s="18" t="s">
        <v>336</v>
      </c>
      <c r="E165" s="18" t="s">
        <v>336</v>
      </c>
      <c r="F165" s="18" t="s">
        <v>336</v>
      </c>
      <c r="G165" s="381"/>
      <c r="H165" s="18" t="s">
        <v>336</v>
      </c>
      <c r="I165" s="18" t="s">
        <v>336</v>
      </c>
      <c r="J165" s="381"/>
      <c r="K165" s="418" t="s">
        <v>336</v>
      </c>
      <c r="L165" s="424" t="str">
        <f>IF('General Info &amp; Test Results'!$C$40="","Fill in General Info",IF('General Info &amp; Test Results'!$C$40="Power","X",""))</f>
        <v>Fill in General Info</v>
      </c>
      <c r="R165" s="193"/>
    </row>
    <row r="166" spans="2:18" ht="16" thickBot="1" x14ac:dyDescent="0.45">
      <c r="B166" s="1" t="s">
        <v>331</v>
      </c>
      <c r="C166" s="18" t="s">
        <v>336</v>
      </c>
      <c r="D166" s="18" t="s">
        <v>336</v>
      </c>
      <c r="E166" s="18" t="s">
        <v>336</v>
      </c>
      <c r="F166" s="18" t="s">
        <v>336</v>
      </c>
      <c r="G166" s="381"/>
      <c r="H166" s="381"/>
      <c r="I166" s="381"/>
      <c r="J166" s="18" t="s">
        <v>336</v>
      </c>
      <c r="K166" s="418" t="s">
        <v>336</v>
      </c>
      <c r="L166" s="425" t="str">
        <f>IF('General Info &amp; Test Results'!$C$46="","Fill in General Info",IF('General Info &amp; Test Results'!$C$46="Yes","X",""))</f>
        <v>Fill in General Info</v>
      </c>
      <c r="R166" s="193"/>
    </row>
    <row r="167" spans="2:18" ht="16.5" x14ac:dyDescent="0.45">
      <c r="B167" s="1" t="s">
        <v>856</v>
      </c>
      <c r="C167" s="18">
        <v>1</v>
      </c>
      <c r="D167" s="18">
        <v>0.4</v>
      </c>
      <c r="E167" s="18">
        <v>0.4</v>
      </c>
      <c r="F167" s="18">
        <v>0.4</v>
      </c>
      <c r="G167" s="18">
        <v>1</v>
      </c>
      <c r="H167" s="18">
        <v>0.4</v>
      </c>
      <c r="I167" s="18">
        <v>0.4</v>
      </c>
      <c r="J167" s="18">
        <v>1</v>
      </c>
      <c r="K167" s="16">
        <v>0.4</v>
      </c>
      <c r="R167" s="193"/>
    </row>
    <row r="168" spans="2:18" ht="16.5" x14ac:dyDescent="0.45">
      <c r="B168" s="1" t="s">
        <v>857</v>
      </c>
      <c r="C168" s="18" t="s">
        <v>534</v>
      </c>
      <c r="D168" s="18" t="s">
        <v>535</v>
      </c>
      <c r="E168" s="18" t="s">
        <v>535</v>
      </c>
      <c r="F168" s="18" t="s">
        <v>535</v>
      </c>
      <c r="G168" s="18"/>
      <c r="H168" s="18" t="s">
        <v>535</v>
      </c>
      <c r="I168" s="18" t="s">
        <v>535</v>
      </c>
      <c r="J168" s="18" t="s">
        <v>536</v>
      </c>
      <c r="K168" s="16" t="s">
        <v>535</v>
      </c>
      <c r="R168" s="193"/>
    </row>
    <row r="169" spans="2:18" ht="52.5" customHeight="1" x14ac:dyDescent="0.45">
      <c r="B169" s="1" t="s">
        <v>654</v>
      </c>
      <c r="C169" s="18">
        <v>1</v>
      </c>
      <c r="D169" s="18">
        <v>1</v>
      </c>
      <c r="E169" s="18" t="s">
        <v>332</v>
      </c>
      <c r="F169" s="380" t="s">
        <v>538</v>
      </c>
      <c r="G169" s="18" t="s">
        <v>339</v>
      </c>
      <c r="H169" s="18" t="s">
        <v>339</v>
      </c>
      <c r="I169" s="380" t="s">
        <v>537</v>
      </c>
      <c r="J169" s="381"/>
      <c r="K169" s="382"/>
      <c r="R169" s="193"/>
    </row>
    <row r="170" spans="2:18" ht="16" thickBot="1" x14ac:dyDescent="0.45">
      <c r="B170" s="357" t="s">
        <v>60</v>
      </c>
      <c r="C170" s="19" t="s">
        <v>338</v>
      </c>
      <c r="D170" s="19" t="s">
        <v>338</v>
      </c>
      <c r="E170" s="19">
        <v>1</v>
      </c>
      <c r="F170" s="19" t="s">
        <v>340</v>
      </c>
      <c r="G170" s="19" t="s">
        <v>338</v>
      </c>
      <c r="H170" s="19" t="s">
        <v>338</v>
      </c>
      <c r="I170" s="19" t="s">
        <v>340</v>
      </c>
      <c r="J170" s="387"/>
      <c r="K170" s="388"/>
      <c r="R170" s="193"/>
    </row>
    <row r="171" spans="2:18" x14ac:dyDescent="0.4">
      <c r="B171" s="384" t="s">
        <v>341</v>
      </c>
      <c r="C171" s="11"/>
      <c r="D171" s="11"/>
      <c r="E171" s="11"/>
      <c r="F171" s="11"/>
      <c r="G171" s="11"/>
      <c r="H171" s="11"/>
      <c r="I171" s="11"/>
      <c r="J171" s="11"/>
      <c r="K171" s="345"/>
      <c r="R171" s="193"/>
    </row>
    <row r="172" spans="2:18" x14ac:dyDescent="0.4">
      <c r="B172" s="341" t="s">
        <v>333</v>
      </c>
      <c r="C172" s="11"/>
      <c r="D172" s="11"/>
      <c r="E172" s="11"/>
      <c r="F172" s="11"/>
      <c r="G172" s="11"/>
      <c r="H172" s="11"/>
      <c r="I172" s="11"/>
      <c r="J172" s="11"/>
      <c r="K172" s="345"/>
      <c r="R172" s="193"/>
    </row>
    <row r="173" spans="2:18" x14ac:dyDescent="0.4">
      <c r="B173" s="341" t="s">
        <v>334</v>
      </c>
      <c r="C173" s="11"/>
      <c r="D173" s="11"/>
      <c r="E173" s="11"/>
      <c r="F173" s="11"/>
      <c r="G173" s="11"/>
      <c r="H173" s="11"/>
      <c r="I173" s="11"/>
      <c r="J173" s="11"/>
      <c r="K173" s="345"/>
      <c r="R173" s="193"/>
    </row>
    <row r="174" spans="2:18" x14ac:dyDescent="0.4">
      <c r="B174" s="341" t="s">
        <v>462</v>
      </c>
      <c r="C174" s="11"/>
      <c r="D174" s="11"/>
      <c r="E174" s="11"/>
      <c r="F174" s="11"/>
      <c r="G174" s="11"/>
      <c r="H174" s="11"/>
      <c r="I174" s="11"/>
      <c r="J174" s="11"/>
      <c r="K174" s="345"/>
      <c r="R174" s="193"/>
    </row>
    <row r="175" spans="2:18" ht="16" thickBot="1" x14ac:dyDescent="0.45">
      <c r="B175" s="28" t="s">
        <v>335</v>
      </c>
      <c r="C175" s="26"/>
      <c r="D175" s="26"/>
      <c r="E175" s="26"/>
      <c r="F175" s="26"/>
      <c r="G175" s="26"/>
      <c r="H175" s="26"/>
      <c r="I175" s="26"/>
      <c r="J175" s="26"/>
      <c r="K175" s="344"/>
      <c r="R175" s="193"/>
    </row>
    <row r="176" spans="2:18" x14ac:dyDescent="0.4">
      <c r="R176" s="193"/>
    </row>
    <row r="177" spans="2:18" x14ac:dyDescent="0.4">
      <c r="R177" s="193"/>
    </row>
    <row r="178" spans="2:18" ht="16.5" x14ac:dyDescent="0.45">
      <c r="B178" s="1597" t="s">
        <v>215</v>
      </c>
      <c r="C178" s="1597"/>
      <c r="D178" s="1597"/>
      <c r="E178" s="1597"/>
      <c r="F178" s="1597"/>
      <c r="G178" s="1597"/>
      <c r="H178" s="1597"/>
      <c r="I178" s="1597"/>
      <c r="J178" s="1597"/>
      <c r="K178" s="1597"/>
      <c r="L178" s="1597"/>
      <c r="R178" s="193"/>
    </row>
    <row r="179" spans="2:18" ht="18" customHeight="1" x14ac:dyDescent="0.4">
      <c r="B179" s="1584" t="s">
        <v>41</v>
      </c>
      <c r="C179" s="1624" t="s">
        <v>234</v>
      </c>
      <c r="D179" s="1584" t="s">
        <v>43</v>
      </c>
      <c r="E179" s="1624" t="s">
        <v>235</v>
      </c>
      <c r="F179" s="1584" t="s">
        <v>44</v>
      </c>
      <c r="G179" s="1623" t="s">
        <v>45</v>
      </c>
      <c r="H179" s="553">
        <v>1</v>
      </c>
      <c r="I179" s="554">
        <v>2</v>
      </c>
      <c r="J179" s="554">
        <v>3</v>
      </c>
      <c r="K179" s="554">
        <v>4</v>
      </c>
      <c r="L179" s="554">
        <v>5</v>
      </c>
      <c r="R179" s="193"/>
    </row>
    <row r="180" spans="2:18" s="205" customFormat="1" x14ac:dyDescent="0.4">
      <c r="B180" s="1585"/>
      <c r="C180" s="1625"/>
      <c r="D180" s="1585"/>
      <c r="E180" s="1625"/>
      <c r="F180" s="1585"/>
      <c r="G180" s="1585"/>
      <c r="H180" s="525" t="s">
        <v>46</v>
      </c>
      <c r="I180" s="525" t="s">
        <v>47</v>
      </c>
      <c r="J180" s="525" t="s">
        <v>48</v>
      </c>
      <c r="K180" s="525" t="s">
        <v>49</v>
      </c>
      <c r="L180" s="525" t="s">
        <v>50</v>
      </c>
      <c r="R180" s="206"/>
    </row>
    <row r="181" spans="2:18" s="205" customFormat="1" x14ac:dyDescent="0.4">
      <c r="B181" s="565" t="s">
        <v>377</v>
      </c>
      <c r="C181" s="566">
        <v>19800</v>
      </c>
      <c r="D181" s="556">
        <v>14.56</v>
      </c>
      <c r="E181" s="566">
        <v>6.55</v>
      </c>
      <c r="F181" s="556">
        <v>6.7900000000000002E-2</v>
      </c>
      <c r="G181" s="556">
        <v>14.22</v>
      </c>
      <c r="H181" s="567">
        <v>0.24416834000000001</v>
      </c>
      <c r="I181" s="567">
        <v>3.3711449E-6</v>
      </c>
      <c r="J181" s="567">
        <v>8.8906304999999997E-9</v>
      </c>
      <c r="K181" s="567">
        <v>-1.3619019E-12</v>
      </c>
      <c r="L181" s="567">
        <v>-1.436741E-16</v>
      </c>
      <c r="R181" s="206"/>
    </row>
    <row r="182" spans="2:18" s="205" customFormat="1" x14ac:dyDescent="0.4">
      <c r="B182" s="565" t="s">
        <v>378</v>
      </c>
      <c r="C182" s="566">
        <v>19500</v>
      </c>
      <c r="D182" s="556">
        <v>14.49</v>
      </c>
      <c r="E182" s="790">
        <v>6.5</v>
      </c>
      <c r="F182" s="556">
        <v>6.6680000000000003E-2</v>
      </c>
      <c r="G182" s="556">
        <v>14.34</v>
      </c>
      <c r="H182" s="567">
        <v>0.24361163</v>
      </c>
      <c r="I182" s="567">
        <v>3.6702685999999998E-6</v>
      </c>
      <c r="J182" s="567">
        <v>8.7098896999999995E-9</v>
      </c>
      <c r="K182" s="567">
        <v>-1.3094378000000001E-12</v>
      </c>
      <c r="L182" s="567">
        <v>1.5029208999999999E-16</v>
      </c>
      <c r="R182" s="206"/>
    </row>
    <row r="183" spans="2:18" x14ac:dyDescent="0.4">
      <c r="B183" s="390" t="s">
        <v>40</v>
      </c>
      <c r="C183" s="18">
        <v>20120</v>
      </c>
      <c r="D183" s="18">
        <v>14.45</v>
      </c>
      <c r="E183" s="190">
        <v>9.5500000000000007</v>
      </c>
      <c r="F183" s="18">
        <v>9.1939999999999994E-2</v>
      </c>
      <c r="G183" s="18">
        <v>10.96</v>
      </c>
      <c r="H183" s="186">
        <v>0.25949477999999998</v>
      </c>
      <c r="I183" s="186">
        <v>-4.9475802E-6</v>
      </c>
      <c r="J183" s="186">
        <v>1.3885838000000001E-8</v>
      </c>
      <c r="K183" s="186">
        <v>-2.8059994E-12</v>
      </c>
      <c r="L183" s="186">
        <v>3.7682440000000001E-17</v>
      </c>
      <c r="R183" s="193"/>
    </row>
    <row r="184" spans="2:18" x14ac:dyDescent="0.4">
      <c r="B184" s="390" t="s">
        <v>42</v>
      </c>
      <c r="C184" s="18">
        <v>18500</v>
      </c>
      <c r="D184" s="18">
        <v>11.81</v>
      </c>
      <c r="E184" s="190">
        <v>10.14</v>
      </c>
      <c r="F184" s="18">
        <v>9.6460000000000004E-2</v>
      </c>
      <c r="G184" s="355">
        <v>10.1</v>
      </c>
      <c r="H184" s="186">
        <v>0.26598442</v>
      </c>
      <c r="I184" s="186">
        <v>-7.7561435000000008E-6</v>
      </c>
      <c r="J184" s="186">
        <v>1.5833852000000001E-8</v>
      </c>
      <c r="K184" s="186">
        <v>-3.4194210000000002E-12</v>
      </c>
      <c r="L184" s="186">
        <v>1.2158977000000001E-16</v>
      </c>
      <c r="R184" s="193"/>
    </row>
    <row r="185" spans="2:18" x14ac:dyDescent="0.4">
      <c r="B185" s="390" t="s">
        <v>428</v>
      </c>
      <c r="C185" s="18">
        <v>21500</v>
      </c>
      <c r="D185" s="18">
        <v>15.58</v>
      </c>
      <c r="E185" s="190">
        <v>7.99</v>
      </c>
      <c r="F185" s="791">
        <v>8.4099999999999994E-2</v>
      </c>
      <c r="G185" s="355">
        <v>12.6</v>
      </c>
      <c r="H185" s="186">
        <v>0.25163638999999999</v>
      </c>
      <c r="I185" s="186">
        <v>-6.4144603999999997E-6</v>
      </c>
      <c r="J185" s="186">
        <v>1.1315072999999999E-8</v>
      </c>
      <c r="K185" s="186">
        <v>-2.0656792000000001E-12</v>
      </c>
      <c r="L185" s="186">
        <v>-5.4897330000000002E-17</v>
      </c>
      <c r="R185" s="193"/>
    </row>
    <row r="186" spans="2:18" x14ac:dyDescent="0.4">
      <c r="B186" s="390" t="s">
        <v>429</v>
      </c>
      <c r="C186" s="18">
        <v>20890</v>
      </c>
      <c r="D186" s="18">
        <v>15.36</v>
      </c>
      <c r="E186" s="190">
        <v>7.79</v>
      </c>
      <c r="F186" s="791">
        <v>8.0799999999999997E-2</v>
      </c>
      <c r="G186" s="18">
        <v>12.93</v>
      </c>
      <c r="H186" s="186">
        <v>0.25011246999999998</v>
      </c>
      <c r="I186" s="186">
        <v>1.7737005E-6</v>
      </c>
      <c r="J186" s="186">
        <v>1.0820337E-8</v>
      </c>
      <c r="K186" s="186">
        <v>-1.9220640999999999E-12</v>
      </c>
      <c r="L186" s="186">
        <v>-7.3013273999999997E-17</v>
      </c>
      <c r="R186" s="193"/>
    </row>
    <row r="187" spans="2:18" x14ac:dyDescent="0.4">
      <c r="B187" s="555" t="s">
        <v>18</v>
      </c>
      <c r="C187" s="556"/>
      <c r="D187" s="556"/>
      <c r="E187" s="557"/>
      <c r="F187" s="556"/>
      <c r="G187" s="558"/>
      <c r="H187" s="559">
        <v>0.25462120999999999</v>
      </c>
      <c r="I187" s="560">
        <v>-3.0260126E-5</v>
      </c>
      <c r="J187" s="560">
        <v>2.7608571000000001E-8</v>
      </c>
      <c r="K187" s="560">
        <v>-7.4253321000000006E-12</v>
      </c>
      <c r="L187" s="560">
        <v>6.4307377000000003E-16</v>
      </c>
      <c r="R187" s="193"/>
    </row>
    <row r="188" spans="2:18" x14ac:dyDescent="0.4">
      <c r="B188" s="552" t="str">
        <f>IF('General Info &amp; Test Results'!C37="","", 'General Info &amp; Test Results'!C37)</f>
        <v/>
      </c>
      <c r="C188" s="124" t="str">
        <f ca="1">IFERROR(OFFSET('Drop-Downs and Tables'!C$181,MATCH('Drop-Downs and Tables'!$B$188,'Drop-Downs and Tables'!$B$181:$B$187,0)-1,0),"")</f>
        <v/>
      </c>
      <c r="D188" s="124" t="str">
        <f ca="1">IFERROR(OFFSET('Drop-Downs and Tables'!D$181,MATCH('Drop-Downs and Tables'!$B$188,'Drop-Downs and Tables'!$B$181:$B$187,0)-1,0),"")</f>
        <v/>
      </c>
      <c r="E188" s="124" t="str">
        <f ca="1">IFERROR(OFFSET('Drop-Downs and Tables'!E$181,MATCH('Drop-Downs and Tables'!$B$188,'Drop-Downs and Tables'!$B$181:$B$187,0)-1,0),"")</f>
        <v/>
      </c>
      <c r="F188" s="124" t="str">
        <f ca="1">IFERROR(OFFSET('Drop-Downs and Tables'!F$181,MATCH('Drop-Downs and Tables'!$B$188,'Drop-Downs and Tables'!$B$181:$B$187,0)-1,0),"")</f>
        <v/>
      </c>
      <c r="G188" s="124" t="str">
        <f ca="1">IFERROR(OFFSET('Drop-Downs and Tables'!G$181,MATCH('Drop-Downs and Tables'!$B$188,'Drop-Downs and Tables'!$B$181:$B$187,0)-1,0),"")</f>
        <v/>
      </c>
      <c r="H188" s="124" t="str">
        <f ca="1">IFERROR(OFFSET('Drop-Downs and Tables'!H$181,MATCH('Drop-Downs and Tables'!$B$188,'Drop-Downs and Tables'!$B$181:$B$187,0)-1,0),"")</f>
        <v/>
      </c>
      <c r="I188" s="124" t="str">
        <f ca="1">IFERROR(OFFSET('Drop-Downs and Tables'!I$181,MATCH('Drop-Downs and Tables'!$B$188,'Drop-Downs and Tables'!$B$181:$B$187,0)-1,0),"")</f>
        <v/>
      </c>
      <c r="J188" s="124" t="str">
        <f ca="1">IFERROR(OFFSET('Drop-Downs and Tables'!J$181,MATCH('Drop-Downs and Tables'!$B$188,'Drop-Downs and Tables'!$B$181:$B$187,0)-1,0),"")</f>
        <v/>
      </c>
      <c r="K188" s="124" t="str">
        <f ca="1">IFERROR(OFFSET('Drop-Downs and Tables'!K$181,MATCH('Drop-Downs and Tables'!$B$188,'Drop-Downs and Tables'!$B$181:$B$187,0)-1,0),"")</f>
        <v/>
      </c>
      <c r="L188" s="124" t="str">
        <f ca="1">IFERROR(OFFSET('Drop-Downs and Tables'!L$181,MATCH('Drop-Downs and Tables'!$B$188,'Drop-Downs and Tables'!$B$181:$B$187,0)-1,0),"")</f>
        <v/>
      </c>
      <c r="R188" s="193"/>
    </row>
    <row r="189" spans="2:18" x14ac:dyDescent="0.4">
      <c r="R189" s="193"/>
    </row>
    <row r="190" spans="2:18" ht="16" thickBot="1" x14ac:dyDescent="0.45">
      <c r="R190" s="193"/>
    </row>
    <row r="191" spans="2:18" ht="16" thickBot="1" x14ac:dyDescent="0.45">
      <c r="B191" s="336" t="s">
        <v>217</v>
      </c>
      <c r="C191" s="393"/>
      <c r="D191" s="393"/>
      <c r="E191" s="394"/>
      <c r="R191" s="193"/>
    </row>
    <row r="192" spans="2:18" s="205" customFormat="1" ht="17.25" customHeight="1" x14ac:dyDescent="0.4">
      <c r="B192" s="1598" t="s">
        <v>64</v>
      </c>
      <c r="C192" s="1585"/>
      <c r="D192" s="1588" t="s">
        <v>343</v>
      </c>
      <c r="E192" s="1593" t="s">
        <v>344</v>
      </c>
      <c r="R192" s="206"/>
    </row>
    <row r="193" spans="2:18" s="205" customFormat="1" x14ac:dyDescent="0.4">
      <c r="B193" s="1599"/>
      <c r="C193" s="1600"/>
      <c r="D193" s="1608"/>
      <c r="E193" s="1601"/>
      <c r="R193" s="206"/>
    </row>
    <row r="194" spans="2:18" s="205" customFormat="1" ht="16" thickBot="1" x14ac:dyDescent="0.45">
      <c r="B194" s="395" t="s">
        <v>65</v>
      </c>
      <c r="C194" s="396" t="s">
        <v>66</v>
      </c>
      <c r="D194" s="416" t="s">
        <v>342</v>
      </c>
      <c r="E194" s="364" t="s">
        <v>342</v>
      </c>
      <c r="K194" s="207"/>
      <c r="R194" s="206"/>
    </row>
    <row r="195" spans="2:18" x14ac:dyDescent="0.4">
      <c r="B195" s="397">
        <v>5000</v>
      </c>
      <c r="C195" s="398">
        <v>10000</v>
      </c>
      <c r="D195" s="366">
        <v>5</v>
      </c>
      <c r="E195" s="399">
        <v>5</v>
      </c>
      <c r="R195" s="193"/>
    </row>
    <row r="196" spans="2:18" x14ac:dyDescent="0.4">
      <c r="B196" s="32">
        <v>11000</v>
      </c>
      <c r="C196" s="33">
        <v>16000</v>
      </c>
      <c r="D196" s="13">
        <v>10</v>
      </c>
      <c r="E196" s="391" t="s">
        <v>345</v>
      </c>
      <c r="R196" s="193"/>
    </row>
    <row r="197" spans="2:18" x14ac:dyDescent="0.4">
      <c r="B197" s="32">
        <v>17000</v>
      </c>
      <c r="C197" s="33">
        <v>25000</v>
      </c>
      <c r="D197" s="13">
        <v>15</v>
      </c>
      <c r="E197" s="391" t="s">
        <v>346</v>
      </c>
      <c r="R197" s="193"/>
    </row>
    <row r="198" spans="2:18" x14ac:dyDescent="0.4">
      <c r="B198" s="32">
        <v>26000</v>
      </c>
      <c r="C198" s="33">
        <v>42000</v>
      </c>
      <c r="D198" s="13">
        <v>20</v>
      </c>
      <c r="E198" s="391" t="s">
        <v>347</v>
      </c>
      <c r="R198" s="193"/>
    </row>
    <row r="199" spans="2:18" x14ac:dyDescent="0.4">
      <c r="B199" s="32">
        <v>43000</v>
      </c>
      <c r="C199" s="33">
        <v>59000</v>
      </c>
      <c r="D199" s="13">
        <v>30</v>
      </c>
      <c r="E199" s="391" t="s">
        <v>348</v>
      </c>
      <c r="R199" s="193"/>
    </row>
    <row r="200" spans="2:18" x14ac:dyDescent="0.4">
      <c r="B200" s="32">
        <v>60000</v>
      </c>
      <c r="C200" s="33">
        <v>76000</v>
      </c>
      <c r="D200" s="13">
        <v>40</v>
      </c>
      <c r="E200" s="391" t="s">
        <v>349</v>
      </c>
      <c r="R200" s="193"/>
    </row>
    <row r="201" spans="2:18" x14ac:dyDescent="0.4">
      <c r="B201" s="32">
        <v>77000</v>
      </c>
      <c r="C201" s="33">
        <v>93000</v>
      </c>
      <c r="D201" s="13">
        <v>50</v>
      </c>
      <c r="E201" s="391" t="s">
        <v>350</v>
      </c>
      <c r="R201" s="193"/>
    </row>
    <row r="202" spans="2:18" x14ac:dyDescent="0.4">
      <c r="B202" s="32">
        <v>94000</v>
      </c>
      <c r="C202" s="33">
        <v>110000</v>
      </c>
      <c r="D202" s="13">
        <v>60</v>
      </c>
      <c r="E202" s="391" t="s">
        <v>351</v>
      </c>
      <c r="R202" s="193"/>
    </row>
    <row r="203" spans="2:18" x14ac:dyDescent="0.4">
      <c r="B203" s="32">
        <v>111000</v>
      </c>
      <c r="C203" s="33">
        <v>127000</v>
      </c>
      <c r="D203" s="13">
        <v>70</v>
      </c>
      <c r="E203" s="391" t="s">
        <v>352</v>
      </c>
      <c r="R203" s="193"/>
    </row>
    <row r="204" spans="2:18" x14ac:dyDescent="0.4">
      <c r="B204" s="32">
        <v>127000</v>
      </c>
      <c r="C204" s="33">
        <v>144000</v>
      </c>
      <c r="D204" s="13">
        <v>80</v>
      </c>
      <c r="E204" s="391" t="s">
        <v>353</v>
      </c>
      <c r="R204" s="193"/>
    </row>
    <row r="205" spans="2:18" x14ac:dyDescent="0.4">
      <c r="B205" s="32">
        <v>145000</v>
      </c>
      <c r="C205" s="33">
        <v>161000</v>
      </c>
      <c r="D205" s="13">
        <v>90</v>
      </c>
      <c r="E205" s="391" t="s">
        <v>354</v>
      </c>
      <c r="R205" s="193"/>
    </row>
    <row r="206" spans="2:18" x14ac:dyDescent="0.4">
      <c r="B206" s="32">
        <v>162000</v>
      </c>
      <c r="C206" s="33">
        <v>178000</v>
      </c>
      <c r="D206" s="13">
        <v>100</v>
      </c>
      <c r="E206" s="391" t="s">
        <v>355</v>
      </c>
      <c r="R206" s="193"/>
    </row>
    <row r="207" spans="2:18" x14ac:dyDescent="0.4">
      <c r="B207" s="32">
        <v>179000</v>
      </c>
      <c r="C207" s="33">
        <v>195000</v>
      </c>
      <c r="D207" s="13">
        <v>110</v>
      </c>
      <c r="E207" s="391" t="s">
        <v>356</v>
      </c>
      <c r="R207" s="193"/>
    </row>
    <row r="208" spans="2:18" ht="16" thickBot="1" x14ac:dyDescent="0.45">
      <c r="B208" s="34">
        <v>196000</v>
      </c>
      <c r="C208" s="22" t="s">
        <v>67</v>
      </c>
      <c r="D208" s="22">
        <v>130</v>
      </c>
      <c r="E208" s="392" t="s">
        <v>357</v>
      </c>
      <c r="R208" s="193"/>
    </row>
    <row r="209" spans="2:18" x14ac:dyDescent="0.4">
      <c r="R209" s="193"/>
    </row>
    <row r="210" spans="2:18" ht="16" thickBot="1" x14ac:dyDescent="0.45">
      <c r="R210" s="193"/>
    </row>
    <row r="211" spans="2:18" ht="16" thickBot="1" x14ac:dyDescent="0.45">
      <c r="B211" s="336" t="s">
        <v>359</v>
      </c>
      <c r="C211" s="337"/>
      <c r="D211" s="337"/>
      <c r="E211" s="337"/>
      <c r="F211" s="338"/>
      <c r="R211" s="193"/>
    </row>
    <row r="212" spans="2:18" x14ac:dyDescent="0.4">
      <c r="B212" s="403"/>
      <c r="C212" s="1583" t="s">
        <v>360</v>
      </c>
      <c r="D212" s="1583"/>
      <c r="E212" s="1583" t="s">
        <v>361</v>
      </c>
      <c r="F212" s="1589"/>
      <c r="R212" s="193"/>
    </row>
    <row r="213" spans="2:18" ht="18" thickBot="1" x14ac:dyDescent="0.45">
      <c r="B213" s="208" t="s">
        <v>362</v>
      </c>
      <c r="C213" s="404" t="s">
        <v>364</v>
      </c>
      <c r="D213" s="404" t="s">
        <v>365</v>
      </c>
      <c r="E213" s="404" t="s">
        <v>364</v>
      </c>
      <c r="F213" s="209" t="s">
        <v>365</v>
      </c>
      <c r="R213" s="193"/>
    </row>
    <row r="214" spans="2:18" x14ac:dyDescent="0.4">
      <c r="B214" s="400" t="s">
        <v>23</v>
      </c>
      <c r="C214" s="401">
        <v>3.87</v>
      </c>
      <c r="D214" s="401">
        <v>13.3</v>
      </c>
      <c r="E214" s="401">
        <v>9.68</v>
      </c>
      <c r="F214" s="402">
        <v>33.26</v>
      </c>
      <c r="R214" s="193"/>
    </row>
    <row r="215" spans="2:18" x14ac:dyDescent="0.4">
      <c r="B215" s="358" t="s">
        <v>363</v>
      </c>
      <c r="C215" s="18">
        <v>10</v>
      </c>
      <c r="D215" s="18">
        <v>10</v>
      </c>
      <c r="E215" s="18">
        <v>15</v>
      </c>
      <c r="F215" s="16">
        <v>15</v>
      </c>
      <c r="R215" s="193"/>
    </row>
    <row r="216" spans="2:18" ht="16" thickBot="1" x14ac:dyDescent="0.45">
      <c r="B216" s="360" t="s">
        <v>25</v>
      </c>
      <c r="C216" s="19">
        <v>10</v>
      </c>
      <c r="D216" s="19">
        <v>10</v>
      </c>
      <c r="E216" s="19">
        <v>15</v>
      </c>
      <c r="F216" s="17">
        <v>15</v>
      </c>
      <c r="R216" s="193"/>
    </row>
    <row r="217" spans="2:18" x14ac:dyDescent="0.4">
      <c r="R217" s="193"/>
    </row>
    <row r="218" spans="2:18" ht="16" thickBot="1" x14ac:dyDescent="0.45">
      <c r="R218" s="193"/>
    </row>
    <row r="219" spans="2:18" ht="16" thickBot="1" x14ac:dyDescent="0.45">
      <c r="B219" s="336" t="s">
        <v>358</v>
      </c>
      <c r="C219" s="337"/>
      <c r="D219" s="337"/>
      <c r="E219" s="337"/>
      <c r="F219" s="337"/>
      <c r="G219" s="338"/>
      <c r="R219" s="193"/>
    </row>
    <row r="220" spans="2:18" x14ac:dyDescent="0.4">
      <c r="B220" s="1590" t="s">
        <v>370</v>
      </c>
      <c r="C220" s="1583"/>
      <c r="D220" s="1583" t="s">
        <v>368</v>
      </c>
      <c r="E220" s="1583"/>
      <c r="F220" s="1583" t="s">
        <v>369</v>
      </c>
      <c r="G220" s="1589"/>
      <c r="R220" s="193"/>
    </row>
    <row r="221" spans="2:18" ht="32.25" customHeight="1" x14ac:dyDescent="0.5">
      <c r="B221" s="1591" t="s">
        <v>371</v>
      </c>
      <c r="C221" s="1592"/>
      <c r="D221" s="406" t="s">
        <v>366</v>
      </c>
      <c r="E221" s="406" t="s">
        <v>367</v>
      </c>
      <c r="F221" s="406" t="s">
        <v>366</v>
      </c>
      <c r="G221" s="354" t="s">
        <v>367</v>
      </c>
      <c r="R221" s="193"/>
    </row>
    <row r="222" spans="2:18" ht="18" thickBot="1" x14ac:dyDescent="0.55000000000000004">
      <c r="B222" s="385" t="s">
        <v>65</v>
      </c>
      <c r="C222" s="408" t="s">
        <v>66</v>
      </c>
      <c r="D222" s="408" t="s">
        <v>372</v>
      </c>
      <c r="E222" s="408" t="s">
        <v>373</v>
      </c>
      <c r="F222" s="408" t="s">
        <v>374</v>
      </c>
      <c r="G222" s="409" t="s">
        <v>375</v>
      </c>
      <c r="R222" s="193"/>
    </row>
    <row r="223" spans="2:18" x14ac:dyDescent="0.4">
      <c r="B223" s="374">
        <v>6</v>
      </c>
      <c r="C223" s="410">
        <v>15</v>
      </c>
      <c r="D223" s="411">
        <v>0.95</v>
      </c>
      <c r="E223" s="411">
        <v>5.0000000000000044E-2</v>
      </c>
      <c r="F223" s="410">
        <v>41</v>
      </c>
      <c r="G223" s="412">
        <v>9</v>
      </c>
      <c r="R223" s="193"/>
    </row>
    <row r="224" spans="2:18" x14ac:dyDescent="0.4">
      <c r="B224" s="1">
        <v>16</v>
      </c>
      <c r="C224" s="340">
        <v>20</v>
      </c>
      <c r="D224" s="405">
        <v>0.9</v>
      </c>
      <c r="E224" s="405">
        <v>9.9999999999999978E-2</v>
      </c>
      <c r="F224" s="340">
        <v>42</v>
      </c>
      <c r="G224" s="407">
        <v>14</v>
      </c>
      <c r="R224" s="193"/>
    </row>
    <row r="225" spans="2:18" x14ac:dyDescent="0.4">
      <c r="B225" s="1">
        <v>21</v>
      </c>
      <c r="C225" s="340">
        <v>25</v>
      </c>
      <c r="D225" s="405">
        <v>0.84</v>
      </c>
      <c r="E225" s="405">
        <v>0.16000000000000003</v>
      </c>
      <c r="F225" s="340">
        <v>43</v>
      </c>
      <c r="G225" s="407">
        <v>18</v>
      </c>
      <c r="R225" s="193"/>
    </row>
    <row r="226" spans="2:18" x14ac:dyDescent="0.4">
      <c r="B226" s="1">
        <v>26</v>
      </c>
      <c r="C226" s="340">
        <v>28</v>
      </c>
      <c r="D226" s="405">
        <v>0.77</v>
      </c>
      <c r="E226" s="405">
        <v>0.22999999999999998</v>
      </c>
      <c r="F226" s="340">
        <v>44</v>
      </c>
      <c r="G226" s="407">
        <v>22</v>
      </c>
      <c r="R226" s="193"/>
    </row>
    <row r="227" spans="2:18" x14ac:dyDescent="0.4">
      <c r="B227" s="1">
        <v>29</v>
      </c>
      <c r="C227" s="340">
        <v>31</v>
      </c>
      <c r="D227" s="405">
        <v>0.7</v>
      </c>
      <c r="E227" s="405">
        <v>0.30000000000000004</v>
      </c>
      <c r="F227" s="340">
        <v>45</v>
      </c>
      <c r="G227" s="407">
        <v>24</v>
      </c>
      <c r="R227" s="193"/>
    </row>
    <row r="228" spans="2:18" x14ac:dyDescent="0.4">
      <c r="B228" s="1">
        <v>32</v>
      </c>
      <c r="C228" s="340">
        <v>33</v>
      </c>
      <c r="D228" s="405">
        <v>0.66</v>
      </c>
      <c r="E228" s="405">
        <v>0.33999999999999997</v>
      </c>
      <c r="F228" s="340">
        <v>46</v>
      </c>
      <c r="G228" s="407">
        <v>26</v>
      </c>
      <c r="R228" s="193"/>
    </row>
    <row r="229" spans="2:18" x14ac:dyDescent="0.4">
      <c r="B229" s="1">
        <v>34</v>
      </c>
      <c r="C229" s="340">
        <v>35</v>
      </c>
      <c r="D229" s="405">
        <v>0.6</v>
      </c>
      <c r="E229" s="405">
        <v>0.4</v>
      </c>
      <c r="F229" s="340">
        <v>47</v>
      </c>
      <c r="G229" s="407">
        <v>27</v>
      </c>
      <c r="R229" s="193"/>
    </row>
    <row r="230" spans="2:18" x14ac:dyDescent="0.4">
      <c r="B230" s="1">
        <v>36</v>
      </c>
      <c r="C230" s="340">
        <v>37</v>
      </c>
      <c r="D230" s="405">
        <v>0.54</v>
      </c>
      <c r="E230" s="405">
        <v>0.45999999999999996</v>
      </c>
      <c r="F230" s="340">
        <v>48</v>
      </c>
      <c r="G230" s="407">
        <v>28</v>
      </c>
      <c r="R230" s="193"/>
    </row>
    <row r="231" spans="2:18" x14ac:dyDescent="0.4">
      <c r="B231" s="1">
        <v>38</v>
      </c>
      <c r="C231" s="340">
        <v>39</v>
      </c>
      <c r="D231" s="405">
        <v>0.48</v>
      </c>
      <c r="E231" s="405">
        <v>0.52</v>
      </c>
      <c r="F231" s="340">
        <v>48</v>
      </c>
      <c r="G231" s="407">
        <v>30</v>
      </c>
      <c r="R231" s="193"/>
    </row>
    <row r="232" spans="2:18" x14ac:dyDescent="0.4">
      <c r="B232" s="1">
        <v>40</v>
      </c>
      <c r="C232" s="340">
        <v>41</v>
      </c>
      <c r="D232" s="405">
        <v>0.42</v>
      </c>
      <c r="E232" s="405">
        <v>0.58000000000000007</v>
      </c>
      <c r="F232" s="340">
        <v>49</v>
      </c>
      <c r="G232" s="407">
        <v>31</v>
      </c>
      <c r="R232" s="193"/>
    </row>
    <row r="233" spans="2:18" x14ac:dyDescent="0.4">
      <c r="B233" s="1">
        <v>42</v>
      </c>
      <c r="C233" s="340">
        <v>43</v>
      </c>
      <c r="D233" s="405">
        <v>0.35</v>
      </c>
      <c r="E233" s="405">
        <v>0.65</v>
      </c>
      <c r="F233" s="340">
        <v>50</v>
      </c>
      <c r="G233" s="407">
        <v>32</v>
      </c>
      <c r="R233" s="193"/>
    </row>
    <row r="234" spans="2:18" x14ac:dyDescent="0.4">
      <c r="B234" s="1">
        <v>44</v>
      </c>
      <c r="C234" s="340">
        <v>45</v>
      </c>
      <c r="D234" s="405">
        <v>0.28999999999999998</v>
      </c>
      <c r="E234" s="405">
        <v>0.71</v>
      </c>
      <c r="F234" s="340">
        <v>51</v>
      </c>
      <c r="G234" s="407">
        <v>33</v>
      </c>
      <c r="R234" s="193"/>
    </row>
    <row r="235" spans="2:18" x14ac:dyDescent="0.4">
      <c r="B235" s="1">
        <v>46</v>
      </c>
      <c r="C235" s="340">
        <v>47</v>
      </c>
      <c r="D235" s="405">
        <v>0.23</v>
      </c>
      <c r="E235" s="405">
        <v>0.77</v>
      </c>
      <c r="F235" s="340">
        <v>52</v>
      </c>
      <c r="G235" s="407">
        <v>35</v>
      </c>
      <c r="R235" s="193"/>
    </row>
    <row r="236" spans="2:18" x14ac:dyDescent="0.4">
      <c r="B236" s="1">
        <v>48</v>
      </c>
      <c r="C236" s="340">
        <v>49</v>
      </c>
      <c r="D236" s="405">
        <v>0.18</v>
      </c>
      <c r="E236" s="405">
        <v>0.82000000000000006</v>
      </c>
      <c r="F236" s="340">
        <v>54</v>
      </c>
      <c r="G236" s="407">
        <v>36</v>
      </c>
      <c r="R236" s="193"/>
    </row>
    <row r="237" spans="2:18" x14ac:dyDescent="0.4">
      <c r="B237" s="1">
        <v>50</v>
      </c>
      <c r="C237" s="340">
        <v>52</v>
      </c>
      <c r="D237" s="405">
        <v>0.12</v>
      </c>
      <c r="E237" s="405">
        <v>0.88</v>
      </c>
      <c r="F237" s="340">
        <v>55</v>
      </c>
      <c r="G237" s="407">
        <v>37</v>
      </c>
      <c r="R237" s="193"/>
    </row>
    <row r="238" spans="2:18" x14ac:dyDescent="0.4">
      <c r="B238" s="1">
        <v>53</v>
      </c>
      <c r="C238" s="340">
        <v>57</v>
      </c>
      <c r="D238" s="405">
        <v>7.0000000000000007E-2</v>
      </c>
      <c r="E238" s="405">
        <v>0.92999999999999994</v>
      </c>
      <c r="F238" s="340">
        <v>58</v>
      </c>
      <c r="G238" s="407">
        <v>39</v>
      </c>
      <c r="R238" s="193"/>
    </row>
    <row r="239" spans="2:18" ht="16" thickBot="1" x14ac:dyDescent="0.45">
      <c r="B239" s="357">
        <v>58</v>
      </c>
      <c r="C239" s="413">
        <v>62</v>
      </c>
      <c r="D239" s="414">
        <v>0.02</v>
      </c>
      <c r="E239" s="414">
        <v>0.98</v>
      </c>
      <c r="F239" s="413">
        <v>61</v>
      </c>
      <c r="G239" s="415">
        <v>40</v>
      </c>
      <c r="R239" s="193"/>
    </row>
    <row r="240" spans="2:18" ht="16" thickBot="1" x14ac:dyDescent="0.45">
      <c r="B240" s="28" t="s">
        <v>376</v>
      </c>
      <c r="C240" s="26"/>
      <c r="D240" s="26"/>
      <c r="E240" s="26"/>
      <c r="F240" s="26"/>
      <c r="G240" s="344"/>
      <c r="R240" s="193"/>
    </row>
    <row r="241" spans="2:18" x14ac:dyDescent="0.4">
      <c r="R241" s="193"/>
    </row>
    <row r="242" spans="2:18" ht="16" thickBot="1" x14ac:dyDescent="0.45">
      <c r="R242" s="193"/>
    </row>
    <row r="243" spans="2:18" ht="16" thickBot="1" x14ac:dyDescent="0.45">
      <c r="B243" s="687" t="s">
        <v>790</v>
      </c>
      <c r="C243" s="688"/>
      <c r="D243" s="688"/>
      <c r="E243" s="689"/>
      <c r="F243" s="690"/>
      <c r="G243" s="690"/>
      <c r="H243" s="690"/>
      <c r="R243" s="193"/>
    </row>
    <row r="244" spans="2:18" ht="36" customHeight="1" thickBot="1" x14ac:dyDescent="0.45">
      <c r="B244" s="1579" t="s">
        <v>771</v>
      </c>
      <c r="C244" s="1580"/>
      <c r="D244" s="1580"/>
      <c r="E244" s="1581"/>
      <c r="F244" s="690"/>
      <c r="G244" s="690"/>
      <c r="H244" s="690"/>
      <c r="R244" s="193"/>
    </row>
    <row r="245" spans="2:18" x14ac:dyDescent="0.4">
      <c r="B245" s="701" t="s">
        <v>427</v>
      </c>
      <c r="C245" s="1576" t="s">
        <v>14</v>
      </c>
      <c r="D245" s="1577"/>
      <c r="E245" s="1578"/>
      <c r="F245" s="691"/>
      <c r="G245" s="692"/>
      <c r="H245" s="692"/>
      <c r="R245" s="193"/>
    </row>
    <row r="246" spans="2:18" x14ac:dyDescent="0.4">
      <c r="B246" s="685" t="s">
        <v>879</v>
      </c>
      <c r="C246" s="694" t="s">
        <v>770</v>
      </c>
      <c r="D246" s="686">
        <v>1</v>
      </c>
      <c r="E246" s="700" t="s">
        <v>51</v>
      </c>
      <c r="F246" s="691"/>
      <c r="G246" s="692"/>
      <c r="H246" s="692"/>
      <c r="R246" s="193"/>
    </row>
    <row r="247" spans="2:18" x14ac:dyDescent="0.4">
      <c r="B247" s="685" t="s">
        <v>880</v>
      </c>
      <c r="C247" s="694" t="s">
        <v>770</v>
      </c>
      <c r="D247" s="686">
        <v>2</v>
      </c>
      <c r="E247" s="700" t="s">
        <v>51</v>
      </c>
      <c r="F247" s="691"/>
      <c r="G247" s="692"/>
      <c r="H247" s="692"/>
      <c r="R247" s="193"/>
    </row>
    <row r="248" spans="2:18" x14ac:dyDescent="0.4">
      <c r="B248" s="685" t="s">
        <v>878</v>
      </c>
      <c r="C248" s="694" t="s">
        <v>770</v>
      </c>
      <c r="D248" s="686">
        <v>2</v>
      </c>
      <c r="E248" s="700" t="s">
        <v>51</v>
      </c>
      <c r="F248" s="691"/>
      <c r="G248" s="692"/>
      <c r="H248" s="692"/>
      <c r="R248" s="193"/>
    </row>
    <row r="249" spans="2:18" ht="16.5" x14ac:dyDescent="0.4">
      <c r="B249" s="685" t="s">
        <v>769</v>
      </c>
      <c r="C249" s="694" t="s">
        <v>770</v>
      </c>
      <c r="D249" s="686">
        <v>0.2</v>
      </c>
      <c r="E249" s="648" t="s">
        <v>772</v>
      </c>
      <c r="F249" s="693"/>
      <c r="G249" s="661"/>
      <c r="H249" s="661"/>
      <c r="R249" s="193"/>
    </row>
    <row r="250" spans="2:18" x14ac:dyDescent="0.4">
      <c r="B250" s="685" t="s">
        <v>773</v>
      </c>
      <c r="C250" s="694" t="s">
        <v>770</v>
      </c>
      <c r="D250" s="686">
        <v>0.5</v>
      </c>
      <c r="E250" s="648" t="s">
        <v>776</v>
      </c>
      <c r="R250" s="193"/>
    </row>
    <row r="251" spans="2:18" ht="16.5" x14ac:dyDescent="0.4">
      <c r="B251" s="685" t="s">
        <v>774</v>
      </c>
      <c r="C251" s="694" t="s">
        <v>770</v>
      </c>
      <c r="D251" s="686">
        <v>0.01</v>
      </c>
      <c r="E251" s="648" t="s">
        <v>772</v>
      </c>
      <c r="R251" s="193"/>
    </row>
    <row r="252" spans="2:18" x14ac:dyDescent="0.4">
      <c r="B252" s="685" t="s">
        <v>775</v>
      </c>
      <c r="C252" s="694" t="s">
        <v>770</v>
      </c>
      <c r="D252" s="686">
        <v>0.2</v>
      </c>
      <c r="E252" s="648" t="s">
        <v>416</v>
      </c>
      <c r="R252" s="193"/>
    </row>
    <row r="253" spans="2:18" ht="16.5" x14ac:dyDescent="0.4">
      <c r="B253" s="685" t="s">
        <v>777</v>
      </c>
      <c r="C253" s="694" t="s">
        <v>770</v>
      </c>
      <c r="D253" s="686">
        <v>5.0000000000000001E-3</v>
      </c>
      <c r="E253" s="648" t="s">
        <v>772</v>
      </c>
      <c r="R253" s="193"/>
    </row>
    <row r="254" spans="2:18" ht="16.5" x14ac:dyDescent="0.45">
      <c r="B254" s="685" t="s">
        <v>778</v>
      </c>
      <c r="C254" s="694" t="s">
        <v>770</v>
      </c>
      <c r="D254" s="686">
        <v>0.1</v>
      </c>
      <c r="E254" s="648" t="s">
        <v>286</v>
      </c>
      <c r="R254" s="193"/>
    </row>
    <row r="255" spans="2:18" x14ac:dyDescent="0.4">
      <c r="B255" s="685" t="s">
        <v>779</v>
      </c>
      <c r="C255" s="694" t="s">
        <v>770</v>
      </c>
      <c r="D255" s="686">
        <v>0.5</v>
      </c>
      <c r="E255" s="648" t="s">
        <v>780</v>
      </c>
      <c r="R255" s="193"/>
    </row>
    <row r="256" spans="2:18" x14ac:dyDescent="0.4">
      <c r="B256" s="685" t="s">
        <v>781</v>
      </c>
      <c r="C256" s="694" t="s">
        <v>770</v>
      </c>
      <c r="D256" s="686">
        <v>0.5</v>
      </c>
      <c r="E256" s="648" t="s">
        <v>780</v>
      </c>
      <c r="R256" s="193"/>
    </row>
    <row r="257" spans="1:18" x14ac:dyDescent="0.4">
      <c r="B257" s="685" t="s">
        <v>782</v>
      </c>
      <c r="C257" s="694" t="s">
        <v>770</v>
      </c>
      <c r="D257" s="686">
        <v>0.5</v>
      </c>
      <c r="E257" s="648" t="s">
        <v>783</v>
      </c>
      <c r="R257" s="193"/>
    </row>
    <row r="258" spans="1:18" ht="32.25" customHeight="1" x14ac:dyDescent="0.4">
      <c r="B258" s="792" t="s">
        <v>881</v>
      </c>
      <c r="C258" s="1570" t="s">
        <v>883</v>
      </c>
      <c r="D258" s="1571"/>
      <c r="E258" s="1572"/>
      <c r="R258" s="193"/>
    </row>
    <row r="259" spans="1:18" x14ac:dyDescent="0.4">
      <c r="B259" s="685" t="s">
        <v>784</v>
      </c>
      <c r="C259" s="694" t="s">
        <v>770</v>
      </c>
      <c r="D259" s="686">
        <v>2</v>
      </c>
      <c r="E259" s="648" t="s">
        <v>286</v>
      </c>
      <c r="R259" s="193"/>
    </row>
    <row r="260" spans="1:18" x14ac:dyDescent="0.4">
      <c r="B260" s="1" t="s">
        <v>785</v>
      </c>
      <c r="C260" s="694" t="s">
        <v>770</v>
      </c>
      <c r="D260" s="18">
        <v>1</v>
      </c>
      <c r="E260" s="648" t="s">
        <v>286</v>
      </c>
      <c r="R260" s="193"/>
    </row>
    <row r="261" spans="1:18" x14ac:dyDescent="0.4">
      <c r="B261" s="1" t="s">
        <v>786</v>
      </c>
      <c r="C261" s="694" t="s">
        <v>770</v>
      </c>
      <c r="D261" s="18">
        <v>1</v>
      </c>
      <c r="E261" s="648" t="s">
        <v>286</v>
      </c>
      <c r="R261" s="193"/>
    </row>
    <row r="262" spans="1:18" x14ac:dyDescent="0.4">
      <c r="B262" s="1" t="s">
        <v>787</v>
      </c>
      <c r="C262" s="694" t="s">
        <v>770</v>
      </c>
      <c r="D262" s="18">
        <v>1</v>
      </c>
      <c r="E262" s="648" t="s">
        <v>286</v>
      </c>
      <c r="R262" s="193"/>
    </row>
    <row r="263" spans="1:18" x14ac:dyDescent="0.4">
      <c r="B263" s="1" t="s">
        <v>788</v>
      </c>
      <c r="C263" s="694" t="s">
        <v>770</v>
      </c>
      <c r="D263" s="18">
        <v>1</v>
      </c>
      <c r="E263" s="648" t="s">
        <v>286</v>
      </c>
      <c r="R263" s="193"/>
    </row>
    <row r="264" spans="1:18" x14ac:dyDescent="0.4">
      <c r="B264" s="1" t="s">
        <v>789</v>
      </c>
      <c r="C264" s="694" t="s">
        <v>770</v>
      </c>
      <c r="D264" s="18">
        <v>1</v>
      </c>
      <c r="E264" s="648" t="s">
        <v>286</v>
      </c>
      <c r="R264" s="193"/>
    </row>
    <row r="265" spans="1:18" ht="16" thickBot="1" x14ac:dyDescent="0.45">
      <c r="B265" s="357" t="s">
        <v>882</v>
      </c>
      <c r="C265" s="1573"/>
      <c r="D265" s="1574"/>
      <c r="E265" s="1575"/>
      <c r="R265" s="193"/>
    </row>
    <row r="266" spans="1:18" x14ac:dyDescent="0.4">
      <c r="R266" s="193"/>
    </row>
    <row r="267" spans="1:18" x14ac:dyDescent="0.4">
      <c r="A267" s="193"/>
      <c r="B267" s="193"/>
      <c r="C267" s="193"/>
      <c r="D267" s="193"/>
      <c r="E267" s="193"/>
      <c r="F267" s="193"/>
      <c r="G267" s="193"/>
      <c r="H267" s="193"/>
      <c r="I267" s="193"/>
      <c r="J267" s="193"/>
      <c r="K267" s="193"/>
      <c r="L267" s="193"/>
      <c r="M267" s="193"/>
      <c r="N267" s="193"/>
      <c r="O267" s="193"/>
      <c r="P267" s="193"/>
      <c r="Q267" s="193"/>
      <c r="R267" s="193"/>
    </row>
  </sheetData>
  <sheetProtection algorithmName="SHA-512" hashValue="KtUocrBkwS5UtotmihUWxw3jHBCs/JByGoOvbO4j6ktfbEOFO+lp/X/rVX9tw5Kbgfen/AjzMXE5lgcxWqjh6A==" saltValue="j/iwWLSMcWWNLPDOhMVG9g==" spinCount="100000" sheet="1" selectLockedCells="1"/>
  <mergeCells count="52">
    <mergeCell ref="G179:G180"/>
    <mergeCell ref="F179:F180"/>
    <mergeCell ref="E179:E180"/>
    <mergeCell ref="D179:D180"/>
    <mergeCell ref="C179:C180"/>
    <mergeCell ref="B2:C2"/>
    <mergeCell ref="E100:F100"/>
    <mergeCell ref="B100:B101"/>
    <mergeCell ref="C100:C101"/>
    <mergeCell ref="D100:D101"/>
    <mergeCell ref="G120:I120"/>
    <mergeCell ref="H121:I121"/>
    <mergeCell ref="E109:F109"/>
    <mergeCell ref="C109:D109"/>
    <mergeCell ref="J119:K119"/>
    <mergeCell ref="G119:I119"/>
    <mergeCell ref="N120:N121"/>
    <mergeCell ref="O119:O121"/>
    <mergeCell ref="P120:P121"/>
    <mergeCell ref="L120:M120"/>
    <mergeCell ref="J120:K120"/>
    <mergeCell ref="J121:K121"/>
    <mergeCell ref="L121:M121"/>
    <mergeCell ref="L119:M119"/>
    <mergeCell ref="F220:G220"/>
    <mergeCell ref="B220:C220"/>
    <mergeCell ref="B221:C221"/>
    <mergeCell ref="G135:G136"/>
    <mergeCell ref="B135:C135"/>
    <mergeCell ref="B178:L178"/>
    <mergeCell ref="D135:F135"/>
    <mergeCell ref="B146:C146"/>
    <mergeCell ref="B147:C147"/>
    <mergeCell ref="D146:D147"/>
    <mergeCell ref="J160:K162"/>
    <mergeCell ref="B192:C193"/>
    <mergeCell ref="D192:D193"/>
    <mergeCell ref="E192:E193"/>
    <mergeCell ref="E212:F212"/>
    <mergeCell ref="C212:D212"/>
    <mergeCell ref="B109:B110"/>
    <mergeCell ref="F119:F120"/>
    <mergeCell ref="E119:E120"/>
    <mergeCell ref="D119:D120"/>
    <mergeCell ref="C119:C120"/>
    <mergeCell ref="C258:E258"/>
    <mergeCell ref="C265:E265"/>
    <mergeCell ref="C245:E245"/>
    <mergeCell ref="B244:E244"/>
    <mergeCell ref="B119:B122"/>
    <mergeCell ref="D220:E220"/>
    <mergeCell ref="B179:B180"/>
  </mergeCells>
  <phoneticPr fontId="29" type="noConversion"/>
  <hyperlinks>
    <hyperlink ref="H4" location="Instructions!C33" display="Back to Instructions tab" xr:uid="{00000000-0004-0000-0D00-000000000000}"/>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dimension ref="A1:E26"/>
  <sheetViews>
    <sheetView showGridLines="0" zoomScale="80" zoomScaleNormal="80" workbookViewId="0">
      <selection activeCell="I22" sqref="I22"/>
    </sheetView>
  </sheetViews>
  <sheetFormatPr defaultColWidth="9" defaultRowHeight="15.5" x14ac:dyDescent="0.4"/>
  <cols>
    <col min="1" max="1" width="3.6328125" style="60" customWidth="1"/>
    <col min="2" max="2" width="29" style="71" customWidth="1"/>
    <col min="3" max="3" width="54.6328125" style="59" customWidth="1"/>
    <col min="4" max="4" width="5.6328125" style="60" customWidth="1"/>
    <col min="5" max="5" width="3.36328125" style="60" customWidth="1"/>
    <col min="6" max="16384" width="9" style="60"/>
  </cols>
  <sheetData>
    <row r="1" spans="2:5" ht="17.25" customHeight="1" thickBot="1" x14ac:dyDescent="0.45">
      <c r="B1" s="59"/>
      <c r="C1" s="60"/>
      <c r="E1" s="61"/>
    </row>
    <row r="2" spans="2:5" ht="16" thickBot="1" x14ac:dyDescent="0.45">
      <c r="B2" s="1256" t="s">
        <v>236</v>
      </c>
      <c r="C2" s="1257"/>
      <c r="E2" s="61"/>
    </row>
    <row r="3" spans="2:5" x14ac:dyDescent="0.4">
      <c r="B3" s="214" t="s">
        <v>237</v>
      </c>
      <c r="C3" s="215" t="s">
        <v>265</v>
      </c>
      <c r="E3" s="61"/>
    </row>
    <row r="4" spans="2:5" x14ac:dyDescent="0.4">
      <c r="B4" s="216" t="s">
        <v>119</v>
      </c>
      <c r="C4" s="217" t="str">
        <f>INDEX(B13:B62,COUNTA(B13:B62),1)</f>
        <v>v1.1</v>
      </c>
      <c r="E4" s="61"/>
    </row>
    <row r="5" spans="2:5" x14ac:dyDescent="0.4">
      <c r="B5" s="216" t="s">
        <v>120</v>
      </c>
      <c r="C5" s="218">
        <f>IF(MAX(B13:C104)=0,"No Revisions Dates Entered",MAX(C13:C104))</f>
        <v>43721</v>
      </c>
      <c r="E5" s="61"/>
    </row>
    <row r="6" spans="2:5" x14ac:dyDescent="0.4">
      <c r="B6" s="219" t="s">
        <v>118</v>
      </c>
      <c r="C6" s="220" t="str">
        <f ca="1">MID(CELL("filename",A1), FIND("]", CELL("filename", A1))+ 1, 255)</f>
        <v>Version Control</v>
      </c>
      <c r="E6" s="61"/>
    </row>
    <row r="7" spans="2:5" x14ac:dyDescent="0.4">
      <c r="B7" s="221" t="s">
        <v>117</v>
      </c>
      <c r="C7" s="222" t="str">
        <f ca="1">MID(CELL("FILENAME",F16),FIND("[",CELL("FILENAME",F16))+1,FIND("]",CELL("FILENAME",F16))-FIND("[",CELL("FILENAME",F16))-1)</f>
        <v>Consumer Boiler - v1.1.xlsx</v>
      </c>
      <c r="E7" s="61"/>
    </row>
    <row r="8" spans="2:5" ht="16" thickBot="1" x14ac:dyDescent="0.45">
      <c r="B8" s="223" t="s">
        <v>121</v>
      </c>
      <c r="C8" s="224">
        <f>'General Info &amp; Test Results'!C17</f>
        <v>0</v>
      </c>
      <c r="E8" s="61"/>
    </row>
    <row r="9" spans="2:5" x14ac:dyDescent="0.4">
      <c r="B9" s="60"/>
      <c r="C9" s="60"/>
      <c r="E9" s="61"/>
    </row>
    <row r="10" spans="2:5" ht="16" thickBot="1" x14ac:dyDescent="0.45">
      <c r="B10" s="60"/>
      <c r="C10" s="60"/>
      <c r="E10" s="61"/>
    </row>
    <row r="11" spans="2:5" ht="16" thickBot="1" x14ac:dyDescent="0.45">
      <c r="B11" s="62" t="s">
        <v>122</v>
      </c>
      <c r="C11" s="63"/>
      <c r="E11" s="61"/>
    </row>
    <row r="12" spans="2:5" ht="16" thickBot="1" x14ac:dyDescent="0.45">
      <c r="B12" s="64" t="s">
        <v>123</v>
      </c>
      <c r="C12" s="65" t="s">
        <v>124</v>
      </c>
      <c r="E12" s="61"/>
    </row>
    <row r="13" spans="2:5" x14ac:dyDescent="0.4">
      <c r="B13" s="185" t="s">
        <v>266</v>
      </c>
      <c r="C13" s="66">
        <v>43523</v>
      </c>
      <c r="E13" s="61"/>
    </row>
    <row r="14" spans="2:5" x14ac:dyDescent="0.4">
      <c r="B14" s="196" t="s">
        <v>1153</v>
      </c>
      <c r="C14" s="67">
        <v>43644</v>
      </c>
      <c r="D14" s="68"/>
      <c r="E14" s="61"/>
    </row>
    <row r="15" spans="2:5" x14ac:dyDescent="0.4">
      <c r="B15" s="196" t="s">
        <v>1154</v>
      </c>
      <c r="C15" s="67">
        <v>43685</v>
      </c>
      <c r="E15" s="61"/>
    </row>
    <row r="16" spans="2:5" x14ac:dyDescent="0.4">
      <c r="B16" s="196" t="s">
        <v>1155</v>
      </c>
      <c r="C16" s="67">
        <v>43699</v>
      </c>
      <c r="E16" s="61"/>
    </row>
    <row r="17" spans="1:5" x14ac:dyDescent="0.4">
      <c r="B17" s="196" t="s">
        <v>1158</v>
      </c>
      <c r="C17" s="67">
        <v>43721</v>
      </c>
      <c r="E17" s="61"/>
    </row>
    <row r="18" spans="1:5" x14ac:dyDescent="0.4">
      <c r="B18" s="326"/>
      <c r="C18" s="327"/>
      <c r="E18" s="61"/>
    </row>
    <row r="19" spans="1:5" x14ac:dyDescent="0.4">
      <c r="B19" s="326"/>
      <c r="C19" s="327"/>
      <c r="E19" s="61"/>
    </row>
    <row r="20" spans="1:5" x14ac:dyDescent="0.4">
      <c r="B20" s="326"/>
      <c r="C20" s="327"/>
      <c r="E20" s="61"/>
    </row>
    <row r="21" spans="1:5" x14ac:dyDescent="0.4">
      <c r="B21" s="326"/>
      <c r="C21" s="327"/>
      <c r="E21" s="61"/>
    </row>
    <row r="22" spans="1:5" x14ac:dyDescent="0.4">
      <c r="B22" s="326"/>
      <c r="C22" s="327"/>
      <c r="E22" s="61"/>
    </row>
    <row r="23" spans="1:5" x14ac:dyDescent="0.4">
      <c r="B23" s="326"/>
      <c r="C23" s="327"/>
      <c r="E23" s="61"/>
    </row>
    <row r="24" spans="1:5" ht="16" thickBot="1" x14ac:dyDescent="0.45">
      <c r="B24" s="69"/>
      <c r="C24" s="70"/>
      <c r="E24" s="61"/>
    </row>
    <row r="25" spans="1:5" x14ac:dyDescent="0.4">
      <c r="E25" s="61"/>
    </row>
    <row r="26" spans="1:5" x14ac:dyDescent="0.4">
      <c r="A26" s="61"/>
      <c r="B26" s="72"/>
      <c r="C26" s="73"/>
      <c r="D26" s="61"/>
      <c r="E26" s="61"/>
    </row>
  </sheetData>
  <sheetProtection algorithmName="SHA-512" hashValue="KS6VzD5Tx0WErwr/Bqy3dw79qZHW6SUmDnSY82AfLnmeBf0mPwJ4wWoChLlzlI9A7ukT7doDPerdlcXqrMKocg==" saltValue="TUvTgPWAiWW8AaMSQhhqWA==" spinCount="100000" sheet="1" selectLockedCells="1"/>
  <mergeCells count="1">
    <mergeCell ref="B2:C2"/>
  </mergeCells>
  <phoneticPr fontId="29"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70C0"/>
    <pageSetUpPr fitToPage="1"/>
  </sheetPr>
  <dimension ref="A1:N53"/>
  <sheetViews>
    <sheetView showGridLines="0" zoomScale="80" zoomScaleNormal="80" workbookViewId="0">
      <selection activeCell="C16" sqref="C16"/>
    </sheetView>
  </sheetViews>
  <sheetFormatPr defaultColWidth="9" defaultRowHeight="15.5" x14ac:dyDescent="0.4"/>
  <cols>
    <col min="1" max="1" width="3.6328125" style="74" customWidth="1"/>
    <col min="2" max="2" width="61.6328125" style="74" customWidth="1"/>
    <col min="3" max="3" width="46.453125" style="74" customWidth="1"/>
    <col min="4" max="4" width="5.7265625" style="74" customWidth="1"/>
    <col min="5" max="5" width="30.6328125" style="74" customWidth="1"/>
    <col min="6" max="6" width="19.90625" style="74" customWidth="1"/>
    <col min="7" max="7" width="17.7265625" style="74" customWidth="1"/>
    <col min="8" max="8" width="40.08984375" style="74" customWidth="1"/>
    <col min="9" max="9" width="4.6328125" style="74" customWidth="1"/>
    <col min="10" max="10" width="3.7265625" style="74" customWidth="1"/>
    <col min="11" max="16384" width="9" style="99"/>
  </cols>
  <sheetData>
    <row r="1" spans="2:10" ht="16" thickBot="1" x14ac:dyDescent="0.45">
      <c r="J1" s="75"/>
    </row>
    <row r="2" spans="2:10" ht="16" thickBot="1" x14ac:dyDescent="0.45">
      <c r="B2" s="1266" t="s">
        <v>236</v>
      </c>
      <c r="C2" s="1267"/>
      <c r="E2" s="303"/>
      <c r="J2" s="75"/>
    </row>
    <row r="3" spans="2:10" ht="21.75" customHeight="1" x14ac:dyDescent="0.4">
      <c r="B3" s="245" t="s">
        <v>237</v>
      </c>
      <c r="C3" s="249" t="str">
        <f>'Version Control'!C3</f>
        <v>Consumer Boiler</v>
      </c>
      <c r="J3" s="75"/>
    </row>
    <row r="4" spans="2:10" ht="17" x14ac:dyDescent="0.4">
      <c r="B4" s="246" t="s">
        <v>119</v>
      </c>
      <c r="C4" s="250" t="str">
        <f>'Version Control'!C4</f>
        <v>v1.1</v>
      </c>
      <c r="E4" s="76" t="s">
        <v>126</v>
      </c>
      <c r="J4" s="75"/>
    </row>
    <row r="5" spans="2:10" x14ac:dyDescent="0.4">
      <c r="B5" s="246" t="s">
        <v>120</v>
      </c>
      <c r="C5" s="251">
        <f>'Version Control'!C5</f>
        <v>43721</v>
      </c>
      <c r="J5" s="75"/>
    </row>
    <row r="6" spans="2:10" x14ac:dyDescent="0.4">
      <c r="B6" s="247" t="s">
        <v>118</v>
      </c>
      <c r="C6" s="252" t="str">
        <f ca="1">MID(CELL("filename",A1), FIND("]", CELL("filename", A1))+ 1, 255)</f>
        <v>General Info &amp; Test Results</v>
      </c>
      <c r="J6" s="75"/>
    </row>
    <row r="7" spans="2:10" x14ac:dyDescent="0.4">
      <c r="B7" s="236" t="s">
        <v>117</v>
      </c>
      <c r="C7" s="222" t="str">
        <f ca="1">'Version Control'!C7</f>
        <v>Consumer Boiler - v1.1.xlsx</v>
      </c>
      <c r="J7" s="75"/>
    </row>
    <row r="8" spans="2:10" ht="16" thickBot="1" x14ac:dyDescent="0.45">
      <c r="B8" s="248" t="s">
        <v>121</v>
      </c>
      <c r="C8" s="253">
        <f>'Version Control'!C8</f>
        <v>0</v>
      </c>
      <c r="J8" s="75"/>
    </row>
    <row r="9" spans="2:10" x14ac:dyDescent="0.4">
      <c r="J9" s="75"/>
    </row>
    <row r="10" spans="2:10" ht="16" thickBot="1" x14ac:dyDescent="0.45">
      <c r="E10" s="86"/>
      <c r="F10" s="86"/>
      <c r="G10" s="86"/>
      <c r="H10" s="86"/>
      <c r="J10" s="75"/>
    </row>
    <row r="11" spans="2:10" ht="16" thickBot="1" x14ac:dyDescent="0.45">
      <c r="B11" s="41" t="s">
        <v>204</v>
      </c>
      <c r="C11" s="42"/>
      <c r="E11" s="740" t="s">
        <v>203</v>
      </c>
      <c r="F11" s="87"/>
      <c r="G11" s="741"/>
      <c r="H11" s="86"/>
      <c r="J11" s="75"/>
    </row>
    <row r="12" spans="2:10" ht="17" x14ac:dyDescent="0.4">
      <c r="B12" s="88" t="s">
        <v>13</v>
      </c>
      <c r="C12" s="487"/>
      <c r="E12" s="89" t="s">
        <v>33</v>
      </c>
      <c r="F12" s="90" t="s">
        <v>137</v>
      </c>
      <c r="G12" s="91" t="s">
        <v>138</v>
      </c>
      <c r="H12" s="86"/>
      <c r="J12" s="75"/>
    </row>
    <row r="13" spans="2:10" ht="17.5" thickBot="1" x14ac:dyDescent="0.45">
      <c r="B13" s="92" t="s">
        <v>1143</v>
      </c>
      <c r="C13" s="488"/>
      <c r="E13" s="88" t="s">
        <v>151</v>
      </c>
      <c r="F13" s="756" t="str">
        <f ca="1">IFERROR(OFFSET(Calculations!$C$51,0,MATCH(Calculations!$D$14,Calculations!$E$14:$K$14,0)+1),"")</f>
        <v/>
      </c>
      <c r="G13" s="93" t="s">
        <v>218</v>
      </c>
      <c r="H13" s="86"/>
      <c r="J13" s="75"/>
    </row>
    <row r="14" spans="2:10" ht="16" thickBot="1" x14ac:dyDescent="0.45">
      <c r="E14" s="98" t="s">
        <v>152</v>
      </c>
      <c r="F14" s="756" t="str">
        <f ca="1">IFERROR(OFFSET(Calculations!$C$145,0,MATCH(Calculations!$D$14,Calculations!$E$14:$K$14,0)+1),"")</f>
        <v/>
      </c>
      <c r="G14" s="170" t="s">
        <v>218</v>
      </c>
      <c r="H14" s="86"/>
      <c r="J14" s="75"/>
    </row>
    <row r="15" spans="2:10" ht="16" thickBot="1" x14ac:dyDescent="0.45">
      <c r="B15" s="41" t="s">
        <v>139</v>
      </c>
      <c r="C15" s="42"/>
      <c r="E15" s="92" t="s">
        <v>153</v>
      </c>
      <c r="F15" s="760" t="str">
        <f ca="1">IFERROR(OFFSET(Calculations!$C$151,0,MATCH(Calculations!$D$14,Calculations!$E$14:$K$14,0)+1),"")</f>
        <v/>
      </c>
      <c r="G15" s="761" t="s">
        <v>218</v>
      </c>
      <c r="H15" s="86"/>
      <c r="J15" s="75"/>
    </row>
    <row r="16" spans="2:10" x14ac:dyDescent="0.4">
      <c r="B16" s="48" t="s">
        <v>140</v>
      </c>
      <c r="C16" s="485"/>
      <c r="E16" s="757"/>
      <c r="F16" s="758"/>
      <c r="G16" s="759"/>
      <c r="H16" s="86"/>
      <c r="J16" s="75"/>
    </row>
    <row r="17" spans="2:13" ht="16" thickBot="1" x14ac:dyDescent="0.45">
      <c r="B17" s="50" t="s">
        <v>141</v>
      </c>
      <c r="C17" s="486"/>
      <c r="E17" s="86"/>
      <c r="F17" s="86"/>
      <c r="G17" s="86"/>
      <c r="H17" s="86"/>
      <c r="J17" s="75"/>
    </row>
    <row r="18" spans="2:13" ht="16" thickBot="1" x14ac:dyDescent="0.45">
      <c r="E18" s="86"/>
      <c r="F18" s="86"/>
      <c r="G18" s="86"/>
      <c r="H18" s="86"/>
      <c r="J18" s="75"/>
    </row>
    <row r="19" spans="2:13" ht="16" thickBot="1" x14ac:dyDescent="0.45">
      <c r="B19" s="41" t="s">
        <v>12</v>
      </c>
      <c r="C19" s="42"/>
      <c r="F19" s="53"/>
      <c r="G19" s="53"/>
      <c r="H19" s="57"/>
      <c r="J19" s="75"/>
    </row>
    <row r="20" spans="2:13" ht="16" thickBot="1" x14ac:dyDescent="0.45">
      <c r="B20" s="429" t="s">
        <v>142</v>
      </c>
      <c r="C20" s="489"/>
      <c r="E20" s="94" t="s">
        <v>201</v>
      </c>
      <c r="F20" s="53"/>
      <c r="G20" s="53"/>
      <c r="H20" s="57"/>
      <c r="J20" s="75"/>
    </row>
    <row r="21" spans="2:13" ht="16" thickBot="1" x14ac:dyDescent="0.45">
      <c r="B21" s="40" t="s">
        <v>144</v>
      </c>
      <c r="C21" s="490"/>
      <c r="E21" s="1281" t="s">
        <v>129</v>
      </c>
      <c r="F21" s="1282"/>
      <c r="G21" s="1282"/>
      <c r="H21" s="1283"/>
      <c r="J21" s="75"/>
    </row>
    <row r="22" spans="2:13" x14ac:dyDescent="0.4">
      <c r="B22" s="40" t="s">
        <v>145</v>
      </c>
      <c r="C22" s="490"/>
      <c r="E22" s="1269" t="s">
        <v>143</v>
      </c>
      <c r="F22" s="1270"/>
      <c r="G22" s="1270"/>
      <c r="H22" s="1271"/>
      <c r="J22" s="75"/>
    </row>
    <row r="23" spans="2:13" x14ac:dyDescent="0.4">
      <c r="B23" s="40" t="s">
        <v>146</v>
      </c>
      <c r="C23" s="490"/>
      <c r="E23" s="1272"/>
      <c r="F23" s="1273"/>
      <c r="G23" s="1273"/>
      <c r="H23" s="1274"/>
      <c r="J23" s="75"/>
    </row>
    <row r="24" spans="2:13" x14ac:dyDescent="0.4">
      <c r="B24" s="40" t="s">
        <v>147</v>
      </c>
      <c r="C24" s="491"/>
      <c r="E24" s="1272"/>
      <c r="F24" s="1273"/>
      <c r="G24" s="1273"/>
      <c r="H24" s="1274"/>
      <c r="J24" s="75"/>
    </row>
    <row r="25" spans="2:13" x14ac:dyDescent="0.4">
      <c r="B25" s="40" t="s">
        <v>148</v>
      </c>
      <c r="C25" s="491"/>
      <c r="D25" s="57"/>
      <c r="E25" s="1275" t="s">
        <v>131</v>
      </c>
      <c r="F25" s="1276"/>
      <c r="G25" s="80" t="s">
        <v>124</v>
      </c>
      <c r="H25" s="81" t="s">
        <v>132</v>
      </c>
      <c r="J25" s="75"/>
    </row>
    <row r="26" spans="2:13" x14ac:dyDescent="0.4">
      <c r="B26" s="40" t="s">
        <v>149</v>
      </c>
      <c r="C26" s="490"/>
      <c r="D26" s="57"/>
      <c r="E26" s="1277" t="s">
        <v>133</v>
      </c>
      <c r="F26" s="1278"/>
      <c r="G26" s="82">
        <f>'Report Sign-Off Block'!D15</f>
        <v>0</v>
      </c>
      <c r="H26" s="95" t="str">
        <f>IF('Report Sign-Off Block'!E15&lt;&gt;0,'Report Sign-Off Block'!E15,"")</f>
        <v>[Test Lab Name]</v>
      </c>
      <c r="J26" s="75"/>
    </row>
    <row r="27" spans="2:13" x14ac:dyDescent="0.4">
      <c r="B27" s="40" t="s">
        <v>391</v>
      </c>
      <c r="C27" s="432" t="str">
        <f>IF(OR(C37="",C38=""),"Fill in Product Characteristics",IF(C37="Electricity","Electric ",C36 &amp; "-fired ")) &amp;
IF(OR(C37="",C38=""),"",IF(C38="Water","Hot Water ","Steam ")) &amp;
C35</f>
        <v>Fill in Product CharacteristicsBoiler</v>
      </c>
      <c r="D27" s="57"/>
      <c r="E27" s="1277" t="s">
        <v>135</v>
      </c>
      <c r="F27" s="1278"/>
      <c r="G27" s="82" t="str">
        <f>'Report Sign-Off Block'!D16</f>
        <v>[MM/DD/YYYY]</v>
      </c>
      <c r="H27" s="95" t="str">
        <f>IF('Report Sign-Off Block'!E16&lt;&gt;0,'Report Sign-Off Block'!E16,"")</f>
        <v>[Test Lab Name]</v>
      </c>
      <c r="J27" s="75"/>
    </row>
    <row r="28" spans="2:13" x14ac:dyDescent="0.4">
      <c r="B28" s="500" t="s">
        <v>197</v>
      </c>
      <c r="C28" s="490"/>
      <c r="D28" s="57"/>
      <c r="E28" s="1277" t="s">
        <v>136</v>
      </c>
      <c r="F28" s="1278"/>
      <c r="G28" s="82" t="str">
        <f>'Report Sign-Off Block'!D17</f>
        <v>[MM/DD/YYYY]</v>
      </c>
      <c r="H28" s="95" t="str">
        <f>IF('Report Sign-Off Block'!E17&lt;&gt;0,'Report Sign-Off Block'!E17,"")</f>
        <v>[Test Lab Name]</v>
      </c>
      <c r="J28" s="75"/>
    </row>
    <row r="29" spans="2:13" ht="16" thickBot="1" x14ac:dyDescent="0.45">
      <c r="B29" s="683" t="s">
        <v>865</v>
      </c>
      <c r="C29" s="510"/>
      <c r="D29" s="57"/>
      <c r="E29" s="1279" t="s">
        <v>136</v>
      </c>
      <c r="F29" s="1280"/>
      <c r="G29" s="96" t="str">
        <f>'Report Sign-Off Block'!D18</f>
        <v>[MM/DD/YYYY]</v>
      </c>
      <c r="H29" s="97" t="str">
        <f>IF('Report Sign-Off Block'!E18&lt;&gt;0,'Report Sign-Off Block'!E18,"")</f>
        <v>[Test Lab Name]</v>
      </c>
      <c r="J29" s="75"/>
    </row>
    <row r="30" spans="2:13" x14ac:dyDescent="0.4">
      <c r="B30" s="683" t="s">
        <v>866</v>
      </c>
      <c r="C30" s="510"/>
      <c r="D30" s="57"/>
      <c r="E30" s="1268"/>
      <c r="F30" s="1268"/>
      <c r="G30" s="328"/>
      <c r="H30" s="329"/>
      <c r="J30" s="75"/>
    </row>
    <row r="31" spans="2:13" ht="17" thickBot="1" x14ac:dyDescent="0.45">
      <c r="B31" s="682" t="s">
        <v>432</v>
      </c>
      <c r="C31" s="531"/>
      <c r="D31" s="57"/>
      <c r="E31" s="571"/>
      <c r="F31" s="571"/>
      <c r="G31" s="328"/>
      <c r="H31" s="329"/>
      <c r="J31" s="75"/>
      <c r="M31" s="684"/>
    </row>
    <row r="32" spans="2:13" ht="16" thickBot="1" x14ac:dyDescent="0.45">
      <c r="D32" s="57"/>
      <c r="J32" s="75"/>
    </row>
    <row r="33" spans="1:14" ht="16" thickBot="1" x14ac:dyDescent="0.45">
      <c r="B33" s="41" t="s">
        <v>150</v>
      </c>
      <c r="C33" s="42"/>
      <c r="D33" s="57"/>
      <c r="J33" s="75"/>
    </row>
    <row r="34" spans="1:14" x14ac:dyDescent="0.4">
      <c r="B34" s="429" t="s">
        <v>196</v>
      </c>
      <c r="C34" s="428" t="str">
        <f>'Drop-Downs and Tables'!L157</f>
        <v>Product Characteristics not filled in correctly</v>
      </c>
      <c r="J34" s="75"/>
    </row>
    <row r="35" spans="1:14" x14ac:dyDescent="0.4">
      <c r="B35" s="680" t="s">
        <v>744</v>
      </c>
      <c r="C35" s="681" t="s">
        <v>746</v>
      </c>
      <c r="J35" s="75"/>
      <c r="N35" s="684"/>
    </row>
    <row r="36" spans="1:14" x14ac:dyDescent="0.4">
      <c r="B36" s="680" t="s">
        <v>757</v>
      </c>
      <c r="C36" s="681" t="str">
        <f>IF(C37="","",IF(C37="Electricity","Electricity",IF(ISERROR(FIND("Gas",C37)),"Oil","Gas")))</f>
        <v/>
      </c>
      <c r="J36" s="75"/>
      <c r="N36" s="684"/>
    </row>
    <row r="37" spans="1:14" x14ac:dyDescent="0.4">
      <c r="B37" s="40" t="s">
        <v>383</v>
      </c>
      <c r="C37" s="83"/>
      <c r="J37" s="75"/>
      <c r="N37" s="684"/>
    </row>
    <row r="38" spans="1:14" x14ac:dyDescent="0.4">
      <c r="A38" s="99"/>
      <c r="B38" s="40" t="s">
        <v>198</v>
      </c>
      <c r="C38" s="420"/>
      <c r="J38" s="75"/>
      <c r="N38" s="684"/>
    </row>
    <row r="39" spans="1:14" x14ac:dyDescent="0.4">
      <c r="A39" s="99"/>
      <c r="B39" s="40" t="s">
        <v>442</v>
      </c>
      <c r="C39" s="83"/>
      <c r="J39" s="75"/>
      <c r="N39" s="684"/>
    </row>
    <row r="40" spans="1:14" x14ac:dyDescent="0.4">
      <c r="A40" s="99"/>
      <c r="B40" s="40" t="s">
        <v>199</v>
      </c>
      <c r="C40" s="83"/>
      <c r="D40" s="431" t="s">
        <v>389</v>
      </c>
      <c r="J40" s="75"/>
      <c r="N40" s="684"/>
    </row>
    <row r="41" spans="1:14" x14ac:dyDescent="0.4">
      <c r="A41" s="99"/>
      <c r="B41" s="762" t="str">
        <f>IF(C40="Atmospheric","Not Used","Power Burner Option")</f>
        <v>Power Burner Option</v>
      </c>
      <c r="C41" s="420"/>
      <c r="J41" s="75"/>
      <c r="N41" s="684"/>
    </row>
    <row r="42" spans="1:14" x14ac:dyDescent="0.4">
      <c r="A42" s="99"/>
      <c r="B42" s="40" t="s">
        <v>854</v>
      </c>
      <c r="C42" s="83"/>
      <c r="J42" s="75"/>
    </row>
    <row r="43" spans="1:14" x14ac:dyDescent="0.4">
      <c r="A43" s="99"/>
      <c r="B43" s="40" t="s">
        <v>200</v>
      </c>
      <c r="C43" s="83"/>
      <c r="D43" s="431" t="s">
        <v>389</v>
      </c>
      <c r="J43" s="75"/>
    </row>
    <row r="44" spans="1:14" x14ac:dyDescent="0.4">
      <c r="A44" s="99"/>
      <c r="B44" s="511" t="str">
        <f>IF(C43="Barometric Draft Control", "Was this unit marketed and sold with attached barometric dampers?","Not used")</f>
        <v>Not used</v>
      </c>
      <c r="C44" s="83"/>
      <c r="D44" s="431"/>
      <c r="J44" s="75"/>
    </row>
    <row r="45" spans="1:14" x14ac:dyDescent="0.4">
      <c r="A45" s="99"/>
      <c r="B45" s="40" t="s">
        <v>387</v>
      </c>
      <c r="C45" s="83"/>
      <c r="D45" s="431" t="s">
        <v>389</v>
      </c>
      <c r="J45" s="75"/>
    </row>
    <row r="46" spans="1:14" x14ac:dyDescent="0.4">
      <c r="A46" s="99"/>
      <c r="B46" s="40" t="s">
        <v>388</v>
      </c>
      <c r="C46" s="83"/>
      <c r="D46" s="431" t="s">
        <v>389</v>
      </c>
      <c r="J46" s="75"/>
    </row>
    <row r="47" spans="1:14" x14ac:dyDescent="0.4">
      <c r="A47" s="99"/>
      <c r="B47" s="40" t="s">
        <v>431</v>
      </c>
      <c r="C47" s="420"/>
      <c r="D47" s="431" t="s">
        <v>389</v>
      </c>
      <c r="J47" s="75"/>
    </row>
    <row r="48" spans="1:14" x14ac:dyDescent="0.4">
      <c r="A48" s="99"/>
      <c r="B48" s="40" t="s">
        <v>768</v>
      </c>
      <c r="C48" s="83"/>
      <c r="D48" s="431" t="s">
        <v>389</v>
      </c>
      <c r="J48" s="75"/>
    </row>
    <row r="49" spans="1:10" x14ac:dyDescent="0.4">
      <c r="A49" s="99"/>
      <c r="B49" s="40" t="s">
        <v>855</v>
      </c>
      <c r="C49" s="83"/>
      <c r="J49" s="75"/>
    </row>
    <row r="50" spans="1:10" x14ac:dyDescent="0.4">
      <c r="A50" s="99"/>
      <c r="B50" s="40" t="s">
        <v>202</v>
      </c>
      <c r="C50" s="83"/>
      <c r="J50" s="75"/>
    </row>
    <row r="51" spans="1:10" ht="17.25" customHeight="1" thickBot="1" x14ac:dyDescent="0.45">
      <c r="B51" s="430" t="s">
        <v>214</v>
      </c>
      <c r="C51" s="484" t="str">
        <f>IF(C50="","Fill in Control Type",IF(OR(C50="Two-Stage Modulating",C50="Step Modulating"),"Yes","No"))</f>
        <v>Fill in Control Type</v>
      </c>
      <c r="J51" s="75"/>
    </row>
    <row r="52" spans="1:10" ht="17.25" customHeight="1" x14ac:dyDescent="0.4">
      <c r="J52" s="75"/>
    </row>
    <row r="53" spans="1:10" x14ac:dyDescent="0.4">
      <c r="A53" s="75"/>
      <c r="B53" s="75"/>
      <c r="C53" s="75"/>
      <c r="D53" s="75"/>
      <c r="E53" s="75"/>
      <c r="F53" s="75"/>
      <c r="G53" s="75"/>
      <c r="H53" s="75"/>
      <c r="I53" s="75"/>
      <c r="J53" s="75"/>
    </row>
  </sheetData>
  <sheetProtection algorithmName="SHA-512" hashValue="JNZ1QFvOtrPUw6UZxrogZa+XUOrTRYW6lN77jwJ1rk+4wboO7ffbU6cXSyDaAG/jsKJ1/ChBV7gtojoqmrptKQ==" saltValue="w8NAuMZm84jdZkoHvUM4dg==" spinCount="100000" sheet="1" selectLockedCells="1"/>
  <mergeCells count="9">
    <mergeCell ref="B2:C2"/>
    <mergeCell ref="E30:F30"/>
    <mergeCell ref="E22:H24"/>
    <mergeCell ref="E25:F25"/>
    <mergeCell ref="E26:F26"/>
    <mergeCell ref="E27:F27"/>
    <mergeCell ref="E28:F28"/>
    <mergeCell ref="E29:F29"/>
    <mergeCell ref="E21:H21"/>
  </mergeCells>
  <phoneticPr fontId="29" type="noConversion"/>
  <dataValidations count="2">
    <dataValidation showInputMessage="1" showErrorMessage="1" sqref="C27 C34 C36 C51" xr:uid="{208F1726-2112-45E5-B4C8-02D6085B03C0}"/>
    <dataValidation type="decimal" allowBlank="1" showInputMessage="1" showErrorMessage="1" sqref="C28:C31" xr:uid="{9AADA343-C311-4785-8597-17E584A2815E}">
      <formula1>-10000000000000000</formula1>
      <formula2>10000000000000000</formula2>
    </dataValidation>
  </dataValidations>
  <hyperlinks>
    <hyperlink ref="E4" location="Instructions!C33" display="Back to Instructions tab" xr:uid="{00000000-0004-0000-0400-000000000000}"/>
  </hyperlinks>
  <printOptions horizontalCentered="1"/>
  <pageMargins left="0.25" right="0.25" top="0.75" bottom="0.25" header="0.3" footer="0.3"/>
  <pageSetup scale="58" orientation="landscape" r:id="rId1"/>
  <headerFooter>
    <oddHeader>&amp;F</oddHeader>
  </headerFooter>
  <extLst>
    <ext xmlns:x14="http://schemas.microsoft.com/office/spreadsheetml/2009/9/main" uri="{CCE6A557-97BC-4b89-ADB6-D9C93CAAB3DF}">
      <x14:dataValidations xmlns:xm="http://schemas.microsoft.com/office/excel/2006/main" count="12">
        <x14:dataValidation type="list" showInputMessage="1" showErrorMessage="1" xr:uid="{6843D8C2-8A2D-434D-A6CA-27D8DDF425B2}">
          <x14:formula1>
            <xm:f>'Drop-Downs and Tables'!$B$59:$B$64</xm:f>
          </x14:formula1>
          <xm:sqref>C43</xm:sqref>
        </x14:dataValidation>
        <x14:dataValidation type="list" showInputMessage="1" showErrorMessage="1" xr:uid="{6251337E-85AC-4990-B19C-CE29E732ADE2}">
          <x14:formula1>
            <xm:f>'Drop-Downs and Tables'!$B$18:$B$21</xm:f>
          </x14:formula1>
          <xm:sqref>C38</xm:sqref>
        </x14:dataValidation>
        <x14:dataValidation type="list" showInputMessage="1" showErrorMessage="1" xr:uid="{91904451-9DFF-4EA0-BF94-2E19E10976B5}">
          <x14:formula1>
            <xm:f>'Drop-Downs and Tables'!$B$39:$B$41</xm:f>
          </x14:formula1>
          <xm:sqref>C40</xm:sqref>
        </x14:dataValidation>
        <x14:dataValidation type="list" showInputMessage="1" showErrorMessage="1" xr:uid="{1774B8B3-CA39-4BD6-BAA9-AB1D1FC8187B}">
          <x14:formula1>
            <xm:f>'Drop-Downs and Tables'!$B$74:$B$77</xm:f>
          </x14:formula1>
          <xm:sqref>C47</xm:sqref>
        </x14:dataValidation>
        <x14:dataValidation type="list" showInputMessage="1" showErrorMessage="1" xr:uid="{782759DD-4386-40FD-9832-AEDB8297BFE3}">
          <x14:formula1>
            <xm:f>'Drop-Downs and Tables'!$B$81:$B$84</xm:f>
          </x14:formula1>
          <xm:sqref>C50</xm:sqref>
        </x14:dataValidation>
        <x14:dataValidation type="list" showInputMessage="1" showErrorMessage="1" xr:uid="{A8ECF4D5-290E-428E-8AFF-4CC32D2790F3}">
          <x14:formula1>
            <xm:f>'Drop-Downs and Tables'!$B$92:$B$94</xm:f>
          </x14:formula1>
          <xm:sqref>C39:C40 C44:C46</xm:sqref>
        </x14:dataValidation>
        <x14:dataValidation type="list" showInputMessage="1" showErrorMessage="1" xr:uid="{AB57FE52-3E48-48B4-A1C5-59B8DD58AE8F}">
          <x14:formula1>
            <xm:f>'Drop-Downs and Tables'!$C$29:$C$36</xm:f>
          </x14:formula1>
          <xm:sqref>C37</xm:sqref>
        </x14:dataValidation>
        <x14:dataValidation type="list" showInputMessage="1" showErrorMessage="1" xr:uid="{64E9B6DB-670C-4D86-8E51-9ED2E8D6C865}">
          <x14:formula1>
            <xm:f>'Drop-Downs and Tables'!$B$13:$B$15</xm:f>
          </x14:formula1>
          <xm:sqref>C35</xm:sqref>
        </x14:dataValidation>
        <x14:dataValidation type="list" showInputMessage="1" showErrorMessage="1" xr:uid="{0B02B1D1-4DDC-4424-9B50-B53F0C1B9407}">
          <x14:formula1>
            <xm:f>'Drop-Downs and Tables'!$C$39:$C$44</xm:f>
          </x14:formula1>
          <xm:sqref>C41</xm:sqref>
        </x14:dataValidation>
        <x14:dataValidation type="list" showInputMessage="1" showErrorMessage="1" xr:uid="{C983752C-CEAA-41EB-B135-E60AC036880C}">
          <x14:formula1>
            <xm:f>'Drop-Downs and Tables'!$B$53:$B$56</xm:f>
          </x14:formula1>
          <xm:sqref>C42</xm:sqref>
        </x14:dataValidation>
        <x14:dataValidation type="list" showInputMessage="1" showErrorMessage="1" xr:uid="{89939858-0848-400D-991A-EB7A689F1A1E}">
          <x14:formula1>
            <xm:f>'Drop-Downs and Tables'!$C$74:$C$78</xm:f>
          </x14:formula1>
          <xm:sqref>C48</xm:sqref>
        </x14:dataValidation>
        <x14:dataValidation type="list" showInputMessage="1" showErrorMessage="1" xr:uid="{37522406-A50F-401A-91AA-3E725C91CDC9}">
          <x14:formula1>
            <xm:f>'Drop-Downs and Tables'!$B$47:$B$50</xm:f>
          </x14:formula1>
          <xm:sqref>C49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70C0"/>
  </sheetPr>
  <dimension ref="A1:T68"/>
  <sheetViews>
    <sheetView showGridLines="0" zoomScale="80" zoomScaleNormal="80" workbookViewId="0">
      <selection activeCell="H14" sqref="H14"/>
    </sheetView>
  </sheetViews>
  <sheetFormatPr defaultColWidth="9.08984375" defaultRowHeight="15.5" x14ac:dyDescent="0.4"/>
  <cols>
    <col min="1" max="1" width="3.6328125" style="175" customWidth="1"/>
    <col min="2" max="2" width="28.90625" style="175" customWidth="1"/>
    <col min="3" max="3" width="52.36328125" style="175" customWidth="1"/>
    <col min="4" max="4" width="20.26953125" style="175" customWidth="1"/>
    <col min="5" max="5" width="18.6328125" style="175" customWidth="1"/>
    <col min="6" max="6" width="18.453125" style="175" customWidth="1"/>
    <col min="7" max="7" width="3.08984375" style="175" customWidth="1"/>
    <col min="8" max="8" width="9" style="175" customWidth="1"/>
    <col min="9" max="9" width="22.6328125" style="175" customWidth="1"/>
    <col min="10" max="10" width="25" style="175" customWidth="1"/>
    <col min="11" max="11" width="12.36328125" style="175" customWidth="1"/>
    <col min="12" max="12" width="3.6328125" style="175" customWidth="1"/>
    <col min="13" max="13" width="7.90625" style="175" customWidth="1"/>
    <col min="14" max="14" width="22.6328125" style="175" customWidth="1"/>
    <col min="15" max="15" width="9.7265625" style="175" customWidth="1"/>
    <col min="16" max="17" width="17.36328125" style="175" customWidth="1"/>
    <col min="18" max="18" width="8.08984375" style="175" customWidth="1"/>
    <col min="19" max="19" width="9.36328125" style="175" customWidth="1"/>
    <col min="20" max="20" width="3.7265625" style="175" customWidth="1"/>
    <col min="21" max="16384" width="9.08984375" style="175"/>
  </cols>
  <sheetData>
    <row r="1" spans="2:20" ht="17.25" customHeight="1" thickBot="1" x14ac:dyDescent="0.45">
      <c r="T1" s="176"/>
    </row>
    <row r="2" spans="2:20" ht="16" thickBot="1" x14ac:dyDescent="0.45">
      <c r="B2" s="1286" t="s">
        <v>236</v>
      </c>
      <c r="C2" s="1287"/>
      <c r="T2" s="176"/>
    </row>
    <row r="3" spans="2:20" x14ac:dyDescent="0.4">
      <c r="B3" s="304" t="s">
        <v>237</v>
      </c>
      <c r="C3" s="305" t="str">
        <f>'Version Control'!C3</f>
        <v>Consumer Boiler</v>
      </c>
      <c r="T3" s="176"/>
    </row>
    <row r="4" spans="2:20" ht="17" x14ac:dyDescent="0.4">
      <c r="B4" s="306" t="s">
        <v>119</v>
      </c>
      <c r="C4" s="307" t="str">
        <f>'Version Control'!C4</f>
        <v>v1.1</v>
      </c>
      <c r="E4" s="76" t="s">
        <v>126</v>
      </c>
      <c r="T4" s="176"/>
    </row>
    <row r="5" spans="2:20" x14ac:dyDescent="0.4">
      <c r="B5" s="306" t="s">
        <v>120</v>
      </c>
      <c r="C5" s="308">
        <f>'Version Control'!C5</f>
        <v>43721</v>
      </c>
      <c r="T5" s="176"/>
    </row>
    <row r="6" spans="2:20" x14ac:dyDescent="0.4">
      <c r="B6" s="309" t="s">
        <v>118</v>
      </c>
      <c r="C6" s="310" t="str">
        <f ca="1">MID(CELL("filename",A1), FIND("]", CELL("filename", A1))+ 1, 255)</f>
        <v>Instrumentation</v>
      </c>
      <c r="T6" s="176"/>
    </row>
    <row r="7" spans="2:20" x14ac:dyDescent="0.4">
      <c r="B7" s="311" t="s">
        <v>117</v>
      </c>
      <c r="C7" s="312" t="str">
        <f ca="1">'Version Control'!C7</f>
        <v>Consumer Boiler - v1.1.xlsx</v>
      </c>
      <c r="T7" s="176"/>
    </row>
    <row r="8" spans="2:20" ht="16" thickBot="1" x14ac:dyDescent="0.45">
      <c r="B8" s="313" t="s">
        <v>121</v>
      </c>
      <c r="C8" s="314">
        <f>'Version Control'!C8</f>
        <v>0</v>
      </c>
      <c r="T8" s="176"/>
    </row>
    <row r="9" spans="2:20" x14ac:dyDescent="0.4">
      <c r="T9" s="176"/>
    </row>
    <row r="10" spans="2:20" ht="16" thickBot="1" x14ac:dyDescent="0.45">
      <c r="T10" s="176"/>
    </row>
    <row r="11" spans="2:20" ht="16" thickBot="1" x14ac:dyDescent="0.45">
      <c r="B11" s="746" t="s">
        <v>154</v>
      </c>
      <c r="C11" s="747"/>
      <c r="D11" s="747"/>
      <c r="E11" s="747"/>
      <c r="F11" s="747"/>
      <c r="G11" s="747"/>
      <c r="H11" s="747"/>
      <c r="I11" s="747"/>
      <c r="J11" s="747"/>
      <c r="K11" s="747"/>
      <c r="L11" s="747"/>
      <c r="M11" s="747"/>
      <c r="N11" s="747"/>
      <c r="O11" s="747"/>
      <c r="P11" s="747"/>
      <c r="Q11" s="747"/>
      <c r="R11" s="748"/>
      <c r="T11" s="176"/>
    </row>
    <row r="12" spans="2:20" ht="17.25" customHeight="1" x14ac:dyDescent="0.4">
      <c r="B12" s="1298" t="s">
        <v>427</v>
      </c>
      <c r="C12" s="1296" t="s">
        <v>155</v>
      </c>
      <c r="D12" s="1296" t="s">
        <v>156</v>
      </c>
      <c r="E12" s="1296" t="s">
        <v>157</v>
      </c>
      <c r="F12" s="1296" t="s">
        <v>158</v>
      </c>
      <c r="G12" s="1301" t="s">
        <v>14</v>
      </c>
      <c r="H12" s="1301"/>
      <c r="I12" s="1301"/>
      <c r="J12" s="1301"/>
      <c r="K12" s="1301"/>
      <c r="L12" s="1284" t="s">
        <v>887</v>
      </c>
      <c r="M12" s="1284"/>
      <c r="N12" s="1284"/>
      <c r="O12" s="1284" t="s">
        <v>888</v>
      </c>
      <c r="P12" s="1296" t="s">
        <v>15</v>
      </c>
      <c r="Q12" s="1296" t="s">
        <v>16</v>
      </c>
      <c r="R12" s="1294" t="s">
        <v>426</v>
      </c>
      <c r="T12" s="176"/>
    </row>
    <row r="13" spans="2:20" ht="58" customHeight="1" x14ac:dyDescent="0.4">
      <c r="B13" s="1299"/>
      <c r="C13" s="1297"/>
      <c r="D13" s="1297"/>
      <c r="E13" s="1297"/>
      <c r="F13" s="1297"/>
      <c r="G13" s="1300" t="s">
        <v>34</v>
      </c>
      <c r="H13" s="1300"/>
      <c r="I13" s="795" t="s">
        <v>884</v>
      </c>
      <c r="J13" s="795" t="s">
        <v>885</v>
      </c>
      <c r="K13" s="795" t="s">
        <v>886</v>
      </c>
      <c r="L13" s="1285"/>
      <c r="M13" s="1285"/>
      <c r="N13" s="1285"/>
      <c r="O13" s="1285"/>
      <c r="P13" s="1297"/>
      <c r="Q13" s="1297"/>
      <c r="R13" s="1295"/>
      <c r="T13" s="176"/>
    </row>
    <row r="14" spans="2:20" x14ac:dyDescent="0.4">
      <c r="B14" s="171"/>
      <c r="C14" s="172"/>
      <c r="D14" s="172"/>
      <c r="E14" s="172"/>
      <c r="F14" s="172"/>
      <c r="G14" s="797" t="str">
        <f>IF(OR($B14="",$B14="Smoke"),"","±")</f>
        <v/>
      </c>
      <c r="H14" s="793"/>
      <c r="I14" s="797" t="str">
        <f ca="1">IF($B14="","",
IF($B14="Other","N/A",
IF($B14="Smoke","ASTM-D-2156-80 (1980)",
OFFSET('Drop-Downs and Tables'!$E$246,MATCH($B14,'Drop-Downs and Tables'!$B$246:$B$265,0)-1,0))))</f>
        <v/>
      </c>
      <c r="J14" s="794"/>
      <c r="K14" s="794"/>
      <c r="L14" s="797" t="str">
        <f>IF(OR($B14="",$B14="Smoke",$B14="Other"),"","±")</f>
        <v/>
      </c>
      <c r="M14" s="797" t="str">
        <f ca="1">IF($B14="","",IF($B14="Other","N/A",IF($B14="Smoke","ASTM",OFFSET('Drop-Downs and Tables'!$D$246,MATCH($B14,'Drop-Downs and Tables'!$B$246:$B$265,0)-1,0))))</f>
        <v/>
      </c>
      <c r="N14" s="797" t="str">
        <f ca="1">IF($B14="","",
IF($B14="Other","N/A",
IF($B14="Smoke","ASTM-D-2156-80 (1980)",
OFFSET('Drop-Downs and Tables'!$E$246,MATCH($B14,'Drop-Downs and Tables'!$B$246:$B$265,0)-1,0))))</f>
        <v/>
      </c>
      <c r="O14" s="797" t="str">
        <f>IF($B14="","",
IF($B14="Other","N/A",
IF($B14="Smoke","Yes",
IF(H14="","No",
IF(H14&gt;M14,"No","Yes")))))</f>
        <v/>
      </c>
      <c r="P14" s="483" t="s">
        <v>125</v>
      </c>
      <c r="Q14" s="483" t="s">
        <v>125</v>
      </c>
      <c r="R14" s="764" t="str">
        <f>IF(OR(P14="[MM/DD/YYYY]",Q14="[MM/DD/YYYY]",P14="",Q14=""),"",
IF(OR(ISTEXT(P14),ISTEXT(Q14)),"Yes",
IF(AND(P14&lt;Q14,P14&lt;='General Info &amp; Test Results'!$C$16,Q14&gt;='General Info &amp; Test Results'!$C$17),"Yes","No")))</f>
        <v/>
      </c>
      <c r="T14" s="176"/>
    </row>
    <row r="15" spans="2:20" x14ac:dyDescent="0.4">
      <c r="B15" s="171"/>
      <c r="C15" s="172"/>
      <c r="D15" s="172"/>
      <c r="E15" s="172"/>
      <c r="F15" s="172"/>
      <c r="G15" s="797" t="str">
        <f t="shared" ref="G15:G53" si="0">IF(OR($B15="",$B15="Smoke"),"","±")</f>
        <v/>
      </c>
      <c r="H15" s="493"/>
      <c r="I15" s="797" t="str">
        <f ca="1">IF($B15="","",
IF($B15="Other","N/A",
IF($B15="Smoke","ASTM-D-2156-80 (1980)",
OFFSET('Drop-Downs and Tables'!$E$246,MATCH($B15,'Drop-Downs and Tables'!$B$246:$B$265,0)-1,0))))</f>
        <v/>
      </c>
      <c r="J15" s="697"/>
      <c r="K15" s="697"/>
      <c r="L15" s="797" t="str">
        <f t="shared" ref="L15:L53" si="1">IF(OR($B15="",$B15="Smoke",$B15="Other"),"","±")</f>
        <v/>
      </c>
      <c r="M15" s="796" t="str">
        <f ca="1">IF($B15="","",IF($B15="Other","N/A",IF($B15="Smoke","ASTM-D-2156-80 (1980)",OFFSET('Drop-Downs and Tables'!$D$246,MATCH($B15,'Drop-Downs and Tables'!$B$246:$B$265,0)-1,0))))</f>
        <v/>
      </c>
      <c r="N15" s="797" t="str">
        <f ca="1">IF($B15="","",
IF($B15="Other","N/A",
IF($B15="Smoke","ASTM-D-2156-80 (1980)",
OFFSET('Drop-Downs and Tables'!$E$246,MATCH($B15,'Drop-Downs and Tables'!$B$246:$B$265,0)-1,0))))</f>
        <v/>
      </c>
      <c r="O15" s="797" t="str">
        <f t="shared" ref="O15:O53" si="2">IF($B15="","",
IF($B15="Other","N/A",
IF($B15="Smoke","Yes",
IF(H15="","No",
IF(H15&gt;M15,"No","Yes")))))</f>
        <v/>
      </c>
      <c r="P15" s="483" t="s">
        <v>125</v>
      </c>
      <c r="Q15" s="483" t="s">
        <v>125</v>
      </c>
      <c r="R15" s="764" t="str">
        <f>IF(OR(P15="[MM/DD/YYYY]",Q15="[MM/DD/YYYY]",P15="",Q15=""),"",
IF(OR(ISTEXT(P15),ISTEXT(Q15)),"Yes",
IF(AND(P15&lt;Q15,P15&lt;='General Info &amp; Test Results'!$C$16,Q15&gt;='General Info &amp; Test Results'!$C$17),"Yes","No")))</f>
        <v/>
      </c>
      <c r="T15" s="176"/>
    </row>
    <row r="16" spans="2:20" x14ac:dyDescent="0.4">
      <c r="B16" s="171"/>
      <c r="C16" s="172"/>
      <c r="D16" s="172"/>
      <c r="E16" s="172"/>
      <c r="F16" s="172"/>
      <c r="G16" s="797" t="str">
        <f t="shared" si="0"/>
        <v/>
      </c>
      <c r="H16" s="493"/>
      <c r="I16" s="797" t="str">
        <f ca="1">IF($B16="","",
IF($B16="Other","N/A",
IF($B16="Smoke","ASTM-D-2156-80 (1980)",
OFFSET('Drop-Downs and Tables'!$E$246,MATCH($B16,'Drop-Downs and Tables'!$B$246:$B$265,0)-1,0))))</f>
        <v/>
      </c>
      <c r="J16" s="697"/>
      <c r="K16" s="697"/>
      <c r="L16" s="797" t="str">
        <f t="shared" si="1"/>
        <v/>
      </c>
      <c r="M16" s="796" t="str">
        <f ca="1">IF($B16="","",IF($B16="Other","N/A",IF($B16="Smoke","ASTM-D-2156-80 (1980)",OFFSET('Drop-Downs and Tables'!$D$246,MATCH($B16,'Drop-Downs and Tables'!$B$246:$B$265,0)-1,0))))</f>
        <v/>
      </c>
      <c r="N16" s="797" t="str">
        <f ca="1">IF($B16="","",
IF($B16="Other","N/A",
IF($B16="Smoke","ASTM-D-2156-80 (1980)",
OFFSET('Drop-Downs and Tables'!$E$246,MATCH($B16,'Drop-Downs and Tables'!$B$246:$B$265,0)-1,0))))</f>
        <v/>
      </c>
      <c r="O16" s="797" t="str">
        <f t="shared" si="2"/>
        <v/>
      </c>
      <c r="P16" s="483" t="s">
        <v>125</v>
      </c>
      <c r="Q16" s="483" t="s">
        <v>125</v>
      </c>
      <c r="R16" s="764" t="str">
        <f>IF(OR(P16="[MM/DD/YYYY]",Q16="[MM/DD/YYYY]",P16="",Q16=""),"",
IF(OR(ISTEXT(P16),ISTEXT(Q16)),"Yes",
IF(AND(P16&lt;Q16,P16&lt;='General Info &amp; Test Results'!$C$16,Q16&gt;='General Info &amp; Test Results'!$C$17),"Yes","No")))</f>
        <v/>
      </c>
      <c r="T16" s="176"/>
    </row>
    <row r="17" spans="2:20" x14ac:dyDescent="0.4">
      <c r="B17" s="171"/>
      <c r="C17" s="172"/>
      <c r="D17" s="172"/>
      <c r="E17" s="172"/>
      <c r="F17" s="172"/>
      <c r="G17" s="797" t="str">
        <f t="shared" si="0"/>
        <v/>
      </c>
      <c r="H17" s="493"/>
      <c r="I17" s="797" t="str">
        <f ca="1">IF($B17="","",
IF($B17="Other","N/A",
IF($B17="Smoke","ASTM-D-2156-80 (1980)",
OFFSET('Drop-Downs and Tables'!$E$246,MATCH($B17,'Drop-Downs and Tables'!$B$246:$B$265,0)-1,0))))</f>
        <v/>
      </c>
      <c r="J17" s="697"/>
      <c r="K17" s="697"/>
      <c r="L17" s="797" t="str">
        <f t="shared" si="1"/>
        <v/>
      </c>
      <c r="M17" s="796" t="str">
        <f ca="1">IF($B17="","",IF($B17="Other","N/A",IF($B17="Smoke","ASTM-D-2156-80 (1980)",OFFSET('Drop-Downs and Tables'!$D$246,MATCH($B17,'Drop-Downs and Tables'!$B$246:$B$265,0)-1,0))))</f>
        <v/>
      </c>
      <c r="N17" s="797" t="str">
        <f ca="1">IF($B17="","",
IF($B17="Other","N/A",
IF($B17="Smoke","ASTM-D-2156-80 (1980)",
OFFSET('Drop-Downs and Tables'!$E$246,MATCH($B17,'Drop-Downs and Tables'!$B$246:$B$265,0)-1,0))))</f>
        <v/>
      </c>
      <c r="O17" s="797" t="str">
        <f t="shared" si="2"/>
        <v/>
      </c>
      <c r="P17" s="483" t="s">
        <v>125</v>
      </c>
      <c r="Q17" s="483" t="s">
        <v>125</v>
      </c>
      <c r="R17" s="764" t="str">
        <f>IF(OR(P17="[MM/DD/YYYY]",Q17="[MM/DD/YYYY]",P17="",Q17=""),"",
IF(OR(ISTEXT(P17),ISTEXT(Q17)),"Yes",
IF(AND(P17&lt;Q17,P17&lt;='General Info &amp; Test Results'!$C$16,Q17&gt;='General Info &amp; Test Results'!$C$17),"Yes","No")))</f>
        <v/>
      </c>
      <c r="T17" s="176"/>
    </row>
    <row r="18" spans="2:20" x14ac:dyDescent="0.4">
      <c r="B18" s="171"/>
      <c r="C18" s="172"/>
      <c r="D18" s="172"/>
      <c r="E18" s="172"/>
      <c r="F18" s="172"/>
      <c r="G18" s="797" t="str">
        <f t="shared" si="0"/>
        <v/>
      </c>
      <c r="H18" s="493"/>
      <c r="I18" s="797" t="str">
        <f ca="1">IF($B18="","",
IF($B18="Other","N/A",
IF($B18="Smoke","ASTM-D-2156-80 (1980)",
OFFSET('Drop-Downs and Tables'!$E$246,MATCH($B18,'Drop-Downs and Tables'!$B$246:$B$265,0)-1,0))))</f>
        <v/>
      </c>
      <c r="J18" s="697"/>
      <c r="K18" s="697"/>
      <c r="L18" s="797" t="str">
        <f t="shared" si="1"/>
        <v/>
      </c>
      <c r="M18" s="796" t="str">
        <f ca="1">IF($B18="","",IF($B18="Other","N/A",IF($B18="Smoke","ASTM-D-2156-80 (1980)",OFFSET('Drop-Downs and Tables'!$D$246,MATCH($B18,'Drop-Downs and Tables'!$B$246:$B$265,0)-1,0))))</f>
        <v/>
      </c>
      <c r="N18" s="797" t="str">
        <f ca="1">IF($B18="","",
IF($B18="Other","N/A",
IF($B18="Smoke","ASTM-D-2156-80 (1980)",
OFFSET('Drop-Downs and Tables'!$E$246,MATCH($B18,'Drop-Downs and Tables'!$B$246:$B$265,0)-1,0))))</f>
        <v/>
      </c>
      <c r="O18" s="797" t="str">
        <f t="shared" si="2"/>
        <v/>
      </c>
      <c r="P18" s="483" t="s">
        <v>125</v>
      </c>
      <c r="Q18" s="483" t="s">
        <v>125</v>
      </c>
      <c r="R18" s="764" t="str">
        <f>IF(OR(P18="[MM/DD/YYYY]",Q18="[MM/DD/YYYY]",P18="",Q18=""),"",
IF(OR(ISTEXT(P18),ISTEXT(Q18)),"Yes",
IF(AND(P18&lt;Q18,P18&lt;='General Info &amp; Test Results'!$C$16,Q18&gt;='General Info &amp; Test Results'!$C$17),"Yes","No")))</f>
        <v/>
      </c>
      <c r="T18" s="176"/>
    </row>
    <row r="19" spans="2:20" x14ac:dyDescent="0.4">
      <c r="B19" s="171"/>
      <c r="C19" s="172"/>
      <c r="D19" s="172"/>
      <c r="E19" s="172"/>
      <c r="F19" s="172"/>
      <c r="G19" s="797" t="str">
        <f t="shared" si="0"/>
        <v/>
      </c>
      <c r="H19" s="493"/>
      <c r="I19" s="797" t="str">
        <f ca="1">IF($B19="","",
IF($B19="Other","N/A",
IF($B19="Smoke","ASTM-D-2156-80 (1980)",
OFFSET('Drop-Downs and Tables'!$E$246,MATCH($B19,'Drop-Downs and Tables'!$B$246:$B$265,0)-1,0))))</f>
        <v/>
      </c>
      <c r="J19" s="697"/>
      <c r="K19" s="697"/>
      <c r="L19" s="797" t="str">
        <f t="shared" si="1"/>
        <v/>
      </c>
      <c r="M19" s="796" t="str">
        <f ca="1">IF($B19="","",IF($B19="Other","N/A",IF($B19="Smoke","ASTM-D-2156-80 (1980)",OFFSET('Drop-Downs and Tables'!$D$246,MATCH($B19,'Drop-Downs and Tables'!$B$246:$B$265,0)-1,0))))</f>
        <v/>
      </c>
      <c r="N19" s="797" t="str">
        <f ca="1">IF($B19="","",
IF($B19="Other","N/A",
IF($B19="Smoke","ASTM-D-2156-80 (1980)",
OFFSET('Drop-Downs and Tables'!$E$246,MATCH($B19,'Drop-Downs and Tables'!$B$246:$B$265,0)-1,0))))</f>
        <v/>
      </c>
      <c r="O19" s="797" t="str">
        <f t="shared" si="2"/>
        <v/>
      </c>
      <c r="P19" s="483" t="s">
        <v>125</v>
      </c>
      <c r="Q19" s="483" t="s">
        <v>125</v>
      </c>
      <c r="R19" s="764" t="str">
        <f>IF(OR(P19="[MM/DD/YYYY]",Q19="[MM/DD/YYYY]",P19="",Q19=""),"",
IF(OR(ISTEXT(P19),ISTEXT(Q19)),"Yes",
IF(AND(P19&lt;Q19,P19&lt;='General Info &amp; Test Results'!$C$16,Q19&gt;='General Info &amp; Test Results'!$C$17),"Yes","No")))</f>
        <v/>
      </c>
      <c r="T19" s="176"/>
    </row>
    <row r="20" spans="2:20" x14ac:dyDescent="0.4">
      <c r="B20" s="171"/>
      <c r="C20" s="172"/>
      <c r="D20" s="172"/>
      <c r="E20" s="172"/>
      <c r="F20" s="172"/>
      <c r="G20" s="797" t="str">
        <f t="shared" si="0"/>
        <v/>
      </c>
      <c r="H20" s="493"/>
      <c r="I20" s="797" t="str">
        <f ca="1">IF($B20="","",
IF($B20="Other","N/A",
IF($B20="Smoke","ASTM-D-2156-80 (1980)",
OFFSET('Drop-Downs and Tables'!$E$246,MATCH($B20,'Drop-Downs and Tables'!$B$246:$B$265,0)-1,0))))</f>
        <v/>
      </c>
      <c r="J20" s="697"/>
      <c r="K20" s="697"/>
      <c r="L20" s="797" t="str">
        <f t="shared" si="1"/>
        <v/>
      </c>
      <c r="M20" s="796" t="str">
        <f ca="1">IF($B20="","",IF($B20="Other","N/A",IF($B20="Smoke","ASTM-D-2156-80 (1980)",OFFSET('Drop-Downs and Tables'!$D$246,MATCH($B20,'Drop-Downs and Tables'!$B$246:$B$265,0)-1,0))))</f>
        <v/>
      </c>
      <c r="N20" s="797" t="str">
        <f ca="1">IF($B20="","",
IF($B20="Other","N/A",
IF($B20="Smoke","ASTM-D-2156-80 (1980)",
OFFSET('Drop-Downs and Tables'!$E$246,MATCH($B20,'Drop-Downs and Tables'!$B$246:$B$265,0)-1,0))))</f>
        <v/>
      </c>
      <c r="O20" s="797" t="str">
        <f t="shared" si="2"/>
        <v/>
      </c>
      <c r="P20" s="483" t="s">
        <v>125</v>
      </c>
      <c r="Q20" s="483" t="s">
        <v>125</v>
      </c>
      <c r="R20" s="764" t="str">
        <f>IF(OR(P20="[MM/DD/YYYY]",Q20="[MM/DD/YYYY]",P20="",Q20=""),"",
IF(OR(ISTEXT(P20),ISTEXT(Q20)),"Yes",
IF(AND(P20&lt;Q20,P20&lt;='General Info &amp; Test Results'!$C$16,Q20&gt;='General Info &amp; Test Results'!$C$17),"Yes","No")))</f>
        <v/>
      </c>
      <c r="T20" s="176"/>
    </row>
    <row r="21" spans="2:20" x14ac:dyDescent="0.4">
      <c r="B21" s="171"/>
      <c r="C21" s="172"/>
      <c r="D21" s="172"/>
      <c r="E21" s="172"/>
      <c r="F21" s="172"/>
      <c r="G21" s="797" t="str">
        <f t="shared" si="0"/>
        <v/>
      </c>
      <c r="H21" s="493"/>
      <c r="I21" s="797" t="str">
        <f ca="1">IF($B21="","",
IF($B21="Other","N/A",
IF($B21="Smoke","ASTM-D-2156-80 (1980)",
OFFSET('Drop-Downs and Tables'!$E$246,MATCH($B21,'Drop-Downs and Tables'!$B$246:$B$265,0)-1,0))))</f>
        <v/>
      </c>
      <c r="J21" s="697"/>
      <c r="K21" s="697"/>
      <c r="L21" s="797" t="str">
        <f t="shared" si="1"/>
        <v/>
      </c>
      <c r="M21" s="796" t="str">
        <f ca="1">IF($B21="","",IF($B21="Other","N/A",IF($B21="Smoke","ASTM-D-2156-80 (1980)",OFFSET('Drop-Downs and Tables'!$D$246,MATCH($B21,'Drop-Downs and Tables'!$B$246:$B$265,0)-1,0))))</f>
        <v/>
      </c>
      <c r="N21" s="797" t="str">
        <f ca="1">IF($B21="","",
IF($B21="Other","N/A",
IF($B21="Smoke","ASTM-D-2156-80 (1980)",
OFFSET('Drop-Downs and Tables'!$E$246,MATCH($B21,'Drop-Downs and Tables'!$B$246:$B$265,0)-1,0))))</f>
        <v/>
      </c>
      <c r="O21" s="797" t="str">
        <f t="shared" si="2"/>
        <v/>
      </c>
      <c r="P21" s="483" t="s">
        <v>125</v>
      </c>
      <c r="Q21" s="483" t="s">
        <v>125</v>
      </c>
      <c r="R21" s="764" t="str">
        <f>IF(OR(P21="[MM/DD/YYYY]",Q21="[MM/DD/YYYY]",P21="",Q21=""),"",
IF(OR(ISTEXT(P21),ISTEXT(Q21)),"Yes",
IF(AND(P21&lt;Q21,P21&lt;='General Info &amp; Test Results'!$C$16,Q21&gt;='General Info &amp; Test Results'!$C$17),"Yes","No")))</f>
        <v/>
      </c>
      <c r="T21" s="176"/>
    </row>
    <row r="22" spans="2:20" x14ac:dyDescent="0.4">
      <c r="B22" s="171"/>
      <c r="C22" s="172"/>
      <c r="D22" s="172"/>
      <c r="E22" s="172"/>
      <c r="F22" s="172"/>
      <c r="G22" s="797" t="str">
        <f t="shared" si="0"/>
        <v/>
      </c>
      <c r="H22" s="493"/>
      <c r="I22" s="797" t="str">
        <f ca="1">IF($B22="","",
IF($B22="Other","N/A",
IF($B22="Smoke","ASTM-D-2156-80 (1980)",
OFFSET('Drop-Downs and Tables'!$E$246,MATCH($B22,'Drop-Downs and Tables'!$B$246:$B$265,0)-1,0))))</f>
        <v/>
      </c>
      <c r="J22" s="697"/>
      <c r="K22" s="697"/>
      <c r="L22" s="797" t="str">
        <f t="shared" si="1"/>
        <v/>
      </c>
      <c r="M22" s="796" t="str">
        <f ca="1">IF($B22="","",IF($B22="Other","N/A",IF($B22="Smoke","ASTM-D-2156-80 (1980)",OFFSET('Drop-Downs and Tables'!$D$246,MATCH($B22,'Drop-Downs and Tables'!$B$246:$B$265,0)-1,0))))</f>
        <v/>
      </c>
      <c r="N22" s="797" t="str">
        <f ca="1">IF($B22="","",
IF($B22="Other","N/A",
IF($B22="Smoke","ASTM-D-2156-80 (1980)",
OFFSET('Drop-Downs and Tables'!$E$246,MATCH($B22,'Drop-Downs and Tables'!$B$246:$B$265,0)-1,0))))</f>
        <v/>
      </c>
      <c r="O22" s="797" t="str">
        <f t="shared" si="2"/>
        <v/>
      </c>
      <c r="P22" s="483" t="s">
        <v>125</v>
      </c>
      <c r="Q22" s="483" t="s">
        <v>125</v>
      </c>
      <c r="R22" s="764" t="str">
        <f>IF(OR(P22="[MM/DD/YYYY]",Q22="[MM/DD/YYYY]",P22="",Q22=""),"",
IF(OR(ISTEXT(P22),ISTEXT(Q22)),"Yes",
IF(AND(P22&lt;Q22,P22&lt;='General Info &amp; Test Results'!$C$16,Q22&gt;='General Info &amp; Test Results'!$C$17),"Yes","No")))</f>
        <v/>
      </c>
      <c r="T22" s="176"/>
    </row>
    <row r="23" spans="2:20" x14ac:dyDescent="0.4">
      <c r="B23" s="171"/>
      <c r="C23" s="172"/>
      <c r="D23" s="172"/>
      <c r="E23" s="172"/>
      <c r="F23" s="172"/>
      <c r="G23" s="797" t="str">
        <f t="shared" si="0"/>
        <v/>
      </c>
      <c r="H23" s="493"/>
      <c r="I23" s="797" t="str">
        <f ca="1">IF($B23="","",
IF($B23="Other","N/A",
IF($B23="Smoke","ASTM-D-2156-80 (1980)",
OFFSET('Drop-Downs and Tables'!$E$246,MATCH($B23,'Drop-Downs and Tables'!$B$246:$B$265,0)-1,0))))</f>
        <v/>
      </c>
      <c r="J23" s="697"/>
      <c r="K23" s="697"/>
      <c r="L23" s="797" t="str">
        <f t="shared" si="1"/>
        <v/>
      </c>
      <c r="M23" s="796" t="str">
        <f ca="1">IF($B23="","",IF($B23="Other","N/A",IF($B23="Smoke","ASTM-D-2156-80 (1980)",OFFSET('Drop-Downs and Tables'!$D$246,MATCH($B23,'Drop-Downs and Tables'!$B$246:$B$265,0)-1,0))))</f>
        <v/>
      </c>
      <c r="N23" s="797" t="str">
        <f ca="1">IF($B23="","",
IF($B23="Other","N/A",
IF($B23="Smoke","ASTM-D-2156-80 (1980)",
OFFSET('Drop-Downs and Tables'!$E$246,MATCH($B23,'Drop-Downs and Tables'!$B$246:$B$265,0)-1,0))))</f>
        <v/>
      </c>
      <c r="O23" s="797" t="str">
        <f t="shared" si="2"/>
        <v/>
      </c>
      <c r="P23" s="483" t="s">
        <v>125</v>
      </c>
      <c r="Q23" s="483" t="s">
        <v>125</v>
      </c>
      <c r="R23" s="764" t="str">
        <f>IF(OR(P23="[MM/DD/YYYY]",Q23="[MM/DD/YYYY]",P23="",Q23=""),"",
IF(OR(ISTEXT(P23),ISTEXT(Q23)),"Yes",
IF(AND(P23&lt;Q23,P23&lt;='General Info &amp; Test Results'!$C$16,Q23&gt;='General Info &amp; Test Results'!$C$17),"Yes","No")))</f>
        <v/>
      </c>
      <c r="T23" s="176"/>
    </row>
    <row r="24" spans="2:20" x14ac:dyDescent="0.4">
      <c r="B24" s="171"/>
      <c r="C24" s="172"/>
      <c r="D24" s="172"/>
      <c r="E24" s="172"/>
      <c r="F24" s="172"/>
      <c r="G24" s="797" t="str">
        <f t="shared" si="0"/>
        <v/>
      </c>
      <c r="H24" s="493"/>
      <c r="I24" s="797" t="str">
        <f ca="1">IF($B24="","",
IF($B24="Other","N/A",
IF($B24="Smoke","ASTM-D-2156-80 (1980)",
OFFSET('Drop-Downs and Tables'!$E$246,MATCH($B24,'Drop-Downs and Tables'!$B$246:$B$265,0)-1,0))))</f>
        <v/>
      </c>
      <c r="J24" s="697"/>
      <c r="K24" s="697"/>
      <c r="L24" s="797" t="str">
        <f t="shared" si="1"/>
        <v/>
      </c>
      <c r="M24" s="796" t="str">
        <f ca="1">IF($B24="","",IF($B24="Other","N/A",IF($B24="Smoke","ASTM-D-2156-80 (1980)",OFFSET('Drop-Downs and Tables'!$D$246,MATCH($B24,'Drop-Downs and Tables'!$B$246:$B$265,0)-1,0))))</f>
        <v/>
      </c>
      <c r="N24" s="797" t="str">
        <f ca="1">IF($B24="","",
IF($B24="Other","N/A",
IF($B24="Smoke","ASTM-D-2156-80 (1980)",
OFFSET('Drop-Downs and Tables'!$E$246,MATCH($B24,'Drop-Downs and Tables'!$B$246:$B$265,0)-1,0))))</f>
        <v/>
      </c>
      <c r="O24" s="797" t="str">
        <f t="shared" si="2"/>
        <v/>
      </c>
      <c r="P24" s="483" t="s">
        <v>125</v>
      </c>
      <c r="Q24" s="483" t="s">
        <v>125</v>
      </c>
      <c r="R24" s="764" t="str">
        <f>IF(OR(P24="[MM/DD/YYYY]",Q24="[MM/DD/YYYY]",P24="",Q24=""),"",
IF(OR(ISTEXT(P24),ISTEXT(Q24)),"Yes",
IF(AND(P24&lt;Q24,P24&lt;='General Info &amp; Test Results'!$C$16,Q24&gt;='General Info &amp; Test Results'!$C$17),"Yes","No")))</f>
        <v/>
      </c>
      <c r="T24" s="176"/>
    </row>
    <row r="25" spans="2:20" x14ac:dyDescent="0.4">
      <c r="B25" s="171"/>
      <c r="C25" s="172"/>
      <c r="D25" s="172"/>
      <c r="E25" s="172"/>
      <c r="F25" s="172"/>
      <c r="G25" s="797" t="str">
        <f t="shared" si="0"/>
        <v/>
      </c>
      <c r="H25" s="493"/>
      <c r="I25" s="797" t="str">
        <f ca="1">IF($B25="","",
IF($B25="Other","N/A",
IF($B25="Smoke","ASTM-D-2156-80 (1980)",
OFFSET('Drop-Downs and Tables'!$E$246,MATCH($B25,'Drop-Downs and Tables'!$B$246:$B$265,0)-1,0))))</f>
        <v/>
      </c>
      <c r="J25" s="697"/>
      <c r="K25" s="697"/>
      <c r="L25" s="797" t="str">
        <f t="shared" si="1"/>
        <v/>
      </c>
      <c r="M25" s="796" t="str">
        <f ca="1">IF($B25="","",IF($B25="Other","N/A",IF($B25="Smoke","ASTM-D-2156-80 (1980)",OFFSET('Drop-Downs and Tables'!$D$246,MATCH($B25,'Drop-Downs and Tables'!$B$246:$B$265,0)-1,0))))</f>
        <v/>
      </c>
      <c r="N25" s="797" t="str">
        <f ca="1">IF($B25="","",
IF($B25="Other","N/A",
IF($B25="Smoke","ASTM-D-2156-80 (1980)",
OFFSET('Drop-Downs and Tables'!$E$246,MATCH($B25,'Drop-Downs and Tables'!$B$246:$B$265,0)-1,0))))</f>
        <v/>
      </c>
      <c r="O25" s="797" t="str">
        <f t="shared" si="2"/>
        <v/>
      </c>
      <c r="P25" s="483" t="s">
        <v>125</v>
      </c>
      <c r="Q25" s="483" t="s">
        <v>125</v>
      </c>
      <c r="R25" s="764" t="str">
        <f>IF(OR(P25="[MM/DD/YYYY]",Q25="[MM/DD/YYYY]",P25="",Q25=""),"",
IF(OR(ISTEXT(P25),ISTEXT(Q25)),"Yes",
IF(AND(P25&lt;Q25,P25&lt;='General Info &amp; Test Results'!$C$16,Q25&gt;='General Info &amp; Test Results'!$C$17),"Yes","No")))</f>
        <v/>
      </c>
      <c r="T25" s="176"/>
    </row>
    <row r="26" spans="2:20" x14ac:dyDescent="0.4">
      <c r="B26" s="171"/>
      <c r="C26" s="172"/>
      <c r="D26" s="172"/>
      <c r="E26" s="172"/>
      <c r="F26" s="172"/>
      <c r="G26" s="797" t="str">
        <f t="shared" si="0"/>
        <v/>
      </c>
      <c r="H26" s="493"/>
      <c r="I26" s="797" t="str">
        <f ca="1">IF($B26="","",
IF($B26="Other","N/A",
IF($B26="Smoke","ASTM-D-2156-80 (1980)",
OFFSET('Drop-Downs and Tables'!$E$246,MATCH($B26,'Drop-Downs and Tables'!$B$246:$B$265,0)-1,0))))</f>
        <v/>
      </c>
      <c r="J26" s="697"/>
      <c r="K26" s="697"/>
      <c r="L26" s="797" t="str">
        <f t="shared" si="1"/>
        <v/>
      </c>
      <c r="M26" s="796" t="str">
        <f ca="1">IF($B26="","",IF($B26="Other","N/A",IF($B26="Smoke","ASTM-D-2156-80 (1980)",OFFSET('Drop-Downs and Tables'!$D$246,MATCH($B26,'Drop-Downs and Tables'!$B$246:$B$265,0)-1,0))))</f>
        <v/>
      </c>
      <c r="N26" s="797" t="str">
        <f ca="1">IF($B26="","",
IF($B26="Other","N/A",
IF($B26="Smoke","ASTM-D-2156-80 (1980)",
OFFSET('Drop-Downs and Tables'!$E$246,MATCH($B26,'Drop-Downs and Tables'!$B$246:$B$265,0)-1,0))))</f>
        <v/>
      </c>
      <c r="O26" s="797" t="str">
        <f t="shared" si="2"/>
        <v/>
      </c>
      <c r="P26" s="483" t="s">
        <v>125</v>
      </c>
      <c r="Q26" s="483" t="s">
        <v>125</v>
      </c>
      <c r="R26" s="764" t="str">
        <f>IF(OR(P26="[MM/DD/YYYY]",Q26="[MM/DD/YYYY]",P26="",Q26=""),"",
IF(OR(ISTEXT(P26),ISTEXT(Q26)),"Yes",
IF(AND(P26&lt;Q26,P26&lt;='General Info &amp; Test Results'!$C$16,Q26&gt;='General Info &amp; Test Results'!$C$17),"Yes","No")))</f>
        <v/>
      </c>
      <c r="T26" s="176"/>
    </row>
    <row r="27" spans="2:20" x14ac:dyDescent="0.4">
      <c r="B27" s="171"/>
      <c r="C27" s="172"/>
      <c r="D27" s="172"/>
      <c r="E27" s="172"/>
      <c r="F27" s="172"/>
      <c r="G27" s="797" t="str">
        <f t="shared" si="0"/>
        <v/>
      </c>
      <c r="H27" s="493"/>
      <c r="I27" s="797" t="str">
        <f ca="1">IF($B27="","",
IF($B27="Other","N/A",
IF($B27="Smoke","ASTM-D-2156-80 (1980)",
OFFSET('Drop-Downs and Tables'!$E$246,MATCH($B27,'Drop-Downs and Tables'!$B$246:$B$265,0)-1,0))))</f>
        <v/>
      </c>
      <c r="J27" s="697"/>
      <c r="K27" s="697"/>
      <c r="L27" s="797" t="str">
        <f t="shared" si="1"/>
        <v/>
      </c>
      <c r="M27" s="796" t="str">
        <f ca="1">IF($B27="","",IF($B27="Other","N/A",IF($B27="Smoke","ASTM-D-2156-80 (1980)",OFFSET('Drop-Downs and Tables'!$D$246,MATCH($B27,'Drop-Downs and Tables'!$B$246:$B$265,0)-1,0))))</f>
        <v/>
      </c>
      <c r="N27" s="797" t="str">
        <f ca="1">IF($B27="","",
IF($B27="Other","N/A",
IF($B27="Smoke","ASTM-D-2156-80 (1980)",
OFFSET('Drop-Downs and Tables'!$E$246,MATCH($B27,'Drop-Downs and Tables'!$B$246:$B$265,0)-1,0))))</f>
        <v/>
      </c>
      <c r="O27" s="797" t="str">
        <f t="shared" si="2"/>
        <v/>
      </c>
      <c r="P27" s="483" t="s">
        <v>125</v>
      </c>
      <c r="Q27" s="483" t="s">
        <v>125</v>
      </c>
      <c r="R27" s="764" t="str">
        <f>IF(OR(P27="[MM/DD/YYYY]",Q27="[MM/DD/YYYY]",P27="",Q27=""),"",
IF(OR(ISTEXT(P27),ISTEXT(Q27)),"Yes",
IF(AND(P27&lt;Q27,P27&lt;='General Info &amp; Test Results'!$C$16,Q27&gt;='General Info &amp; Test Results'!$C$17),"Yes","No")))</f>
        <v/>
      </c>
      <c r="T27" s="176"/>
    </row>
    <row r="28" spans="2:20" x14ac:dyDescent="0.4">
      <c r="B28" s="171"/>
      <c r="C28" s="172"/>
      <c r="D28" s="172"/>
      <c r="E28" s="172"/>
      <c r="F28" s="172"/>
      <c r="G28" s="797" t="str">
        <f t="shared" si="0"/>
        <v/>
      </c>
      <c r="H28" s="493"/>
      <c r="I28" s="797" t="str">
        <f ca="1">IF($B28="","",
IF($B28="Other","N/A",
IF($B28="Smoke","ASTM-D-2156-80 (1980)",
OFFSET('Drop-Downs and Tables'!$E$246,MATCH($B28,'Drop-Downs and Tables'!$B$246:$B$265,0)-1,0))))</f>
        <v/>
      </c>
      <c r="J28" s="697"/>
      <c r="K28" s="697"/>
      <c r="L28" s="797" t="str">
        <f t="shared" si="1"/>
        <v/>
      </c>
      <c r="M28" s="796" t="str">
        <f ca="1">IF($B28="","",IF($B28="Other","N/A",IF($B28="Smoke","ASTM-D-2156-80 (1980)",OFFSET('Drop-Downs and Tables'!$D$246,MATCH($B28,'Drop-Downs and Tables'!$B$246:$B$265,0)-1,0))))</f>
        <v/>
      </c>
      <c r="N28" s="797" t="str">
        <f ca="1">IF($B28="","",
IF($B28="Other","N/A",
IF($B28="Smoke","ASTM-D-2156-80 (1980)",
OFFSET('Drop-Downs and Tables'!$E$246,MATCH($B28,'Drop-Downs and Tables'!$B$246:$B$265,0)-1,0))))</f>
        <v/>
      </c>
      <c r="O28" s="797" t="str">
        <f t="shared" si="2"/>
        <v/>
      </c>
      <c r="P28" s="483" t="s">
        <v>125</v>
      </c>
      <c r="Q28" s="483" t="s">
        <v>125</v>
      </c>
      <c r="R28" s="764" t="str">
        <f>IF(OR(P28="[MM/DD/YYYY]",Q28="[MM/DD/YYYY]",P28="",Q28=""),"",
IF(OR(ISTEXT(P28),ISTEXT(Q28)),"Yes",
IF(AND(P28&lt;Q28,P28&lt;='General Info &amp; Test Results'!$C$16,Q28&gt;='General Info &amp; Test Results'!$C$17),"Yes","No")))</f>
        <v/>
      </c>
      <c r="T28" s="176"/>
    </row>
    <row r="29" spans="2:20" x14ac:dyDescent="0.4">
      <c r="B29" s="171"/>
      <c r="C29" s="172"/>
      <c r="D29" s="172"/>
      <c r="E29" s="172"/>
      <c r="F29" s="172"/>
      <c r="G29" s="797" t="str">
        <f t="shared" si="0"/>
        <v/>
      </c>
      <c r="H29" s="493"/>
      <c r="I29" s="797" t="str">
        <f ca="1">IF($B29="","",
IF($B29="Other","N/A",
IF($B29="Smoke","ASTM-D-2156-80 (1980)",
OFFSET('Drop-Downs and Tables'!$E$246,MATCH($B29,'Drop-Downs and Tables'!$B$246:$B$265,0)-1,0))))</f>
        <v/>
      </c>
      <c r="J29" s="697"/>
      <c r="K29" s="697"/>
      <c r="L29" s="797" t="str">
        <f t="shared" si="1"/>
        <v/>
      </c>
      <c r="M29" s="796" t="str">
        <f ca="1">IF($B29="","",IF($B29="Other","N/A",IF($B29="Smoke","ASTM-D-2156-80 (1980)",OFFSET('Drop-Downs and Tables'!$D$246,MATCH($B29,'Drop-Downs and Tables'!$B$246:$B$265,0)-1,0))))</f>
        <v/>
      </c>
      <c r="N29" s="797" t="str">
        <f ca="1">IF($B29="","",
IF($B29="Other","N/A",
IF($B29="Smoke","ASTM-D-2156-80 (1980)",
OFFSET('Drop-Downs and Tables'!$E$246,MATCH($B29,'Drop-Downs and Tables'!$B$246:$B$265,0)-1,0))))</f>
        <v/>
      </c>
      <c r="O29" s="797" t="str">
        <f t="shared" si="2"/>
        <v/>
      </c>
      <c r="P29" s="483" t="s">
        <v>125</v>
      </c>
      <c r="Q29" s="483" t="s">
        <v>125</v>
      </c>
      <c r="R29" s="764" t="str">
        <f>IF(OR(P29="[MM/DD/YYYY]",Q29="[MM/DD/YYYY]",P29="",Q29=""),"",
IF(OR(ISTEXT(P29),ISTEXT(Q29)),"Yes",
IF(AND(P29&lt;Q29,P29&lt;='General Info &amp; Test Results'!$C$16,Q29&gt;='General Info &amp; Test Results'!$C$17),"Yes","No")))</f>
        <v/>
      </c>
      <c r="T29" s="176"/>
    </row>
    <row r="30" spans="2:20" x14ac:dyDescent="0.4">
      <c r="B30" s="171"/>
      <c r="C30" s="172"/>
      <c r="D30" s="172"/>
      <c r="E30" s="172"/>
      <c r="F30" s="172"/>
      <c r="G30" s="797" t="str">
        <f t="shared" si="0"/>
        <v/>
      </c>
      <c r="H30" s="493"/>
      <c r="I30" s="797" t="str">
        <f ca="1">IF($B30="","",
IF($B30="Other","N/A",
IF($B30="Smoke","ASTM-D-2156-80 (1980)",
OFFSET('Drop-Downs and Tables'!$E$246,MATCH($B30,'Drop-Downs and Tables'!$B$246:$B$265,0)-1,0))))</f>
        <v/>
      </c>
      <c r="J30" s="697"/>
      <c r="K30" s="697"/>
      <c r="L30" s="797" t="str">
        <f t="shared" si="1"/>
        <v/>
      </c>
      <c r="M30" s="796" t="str">
        <f ca="1">IF($B30="","",IF($B30="Other","N/A",IF($B30="Smoke","ASTM-D-2156-80 (1980)",OFFSET('Drop-Downs and Tables'!$D$246,MATCH($B30,'Drop-Downs and Tables'!$B$246:$B$265,0)-1,0))))</f>
        <v/>
      </c>
      <c r="N30" s="797" t="str">
        <f ca="1">IF($B30="","",
IF($B30="Other","N/A",
IF($B30="Smoke","ASTM-D-2156-80 (1980)",
OFFSET('Drop-Downs and Tables'!$E$246,MATCH($B30,'Drop-Downs and Tables'!$B$246:$B$265,0)-1,0))))</f>
        <v/>
      </c>
      <c r="O30" s="797" t="str">
        <f t="shared" si="2"/>
        <v/>
      </c>
      <c r="P30" s="483" t="s">
        <v>125</v>
      </c>
      <c r="Q30" s="483" t="s">
        <v>125</v>
      </c>
      <c r="R30" s="764" t="str">
        <f>IF(OR(P30="[MM/DD/YYYY]",Q30="[MM/DD/YYYY]",P30="",Q30=""),"",
IF(OR(ISTEXT(P30),ISTEXT(Q30)),"Yes",
IF(AND(P30&lt;Q30,P30&lt;='General Info &amp; Test Results'!$C$16,Q30&gt;='General Info &amp; Test Results'!$C$17),"Yes","No")))</f>
        <v/>
      </c>
      <c r="T30" s="176"/>
    </row>
    <row r="31" spans="2:20" x14ac:dyDescent="0.4">
      <c r="B31" s="171"/>
      <c r="C31" s="172"/>
      <c r="D31" s="172"/>
      <c r="E31" s="172"/>
      <c r="F31" s="172"/>
      <c r="G31" s="797" t="str">
        <f t="shared" si="0"/>
        <v/>
      </c>
      <c r="H31" s="493"/>
      <c r="I31" s="797" t="str">
        <f ca="1">IF($B31="","",
IF($B31="Other","N/A",
IF($B31="Smoke","ASTM-D-2156-80 (1980)",
OFFSET('Drop-Downs and Tables'!$E$246,MATCH($B31,'Drop-Downs and Tables'!$B$246:$B$265,0)-1,0))))</f>
        <v/>
      </c>
      <c r="J31" s="697"/>
      <c r="K31" s="697"/>
      <c r="L31" s="797" t="str">
        <f t="shared" si="1"/>
        <v/>
      </c>
      <c r="M31" s="796" t="str">
        <f ca="1">IF($B31="","",IF($B31="Other","N/A",IF($B31="Smoke","ASTM-D-2156-80 (1980)",OFFSET('Drop-Downs and Tables'!$D$246,MATCH($B31,'Drop-Downs and Tables'!$B$246:$B$265,0)-1,0))))</f>
        <v/>
      </c>
      <c r="N31" s="797" t="str">
        <f ca="1">IF($B31="","",
IF($B31="Other","N/A",
IF($B31="Smoke","ASTM-D-2156-80 (1980)",
OFFSET('Drop-Downs and Tables'!$E$246,MATCH($B31,'Drop-Downs and Tables'!$B$246:$B$265,0)-1,0))))</f>
        <v/>
      </c>
      <c r="O31" s="797" t="str">
        <f t="shared" si="2"/>
        <v/>
      </c>
      <c r="P31" s="483" t="s">
        <v>125</v>
      </c>
      <c r="Q31" s="483" t="s">
        <v>125</v>
      </c>
      <c r="R31" s="764" t="str">
        <f>IF(OR(P31="[MM/DD/YYYY]",Q31="[MM/DD/YYYY]",P31="",Q31=""),"",
IF(OR(ISTEXT(P31),ISTEXT(Q31)),"Yes",
IF(AND(P31&lt;Q31,P31&lt;='General Info &amp; Test Results'!$C$16,Q31&gt;='General Info &amp; Test Results'!$C$17),"Yes","No")))</f>
        <v/>
      </c>
      <c r="S31" s="175" t="str">
        <f>IF(OR(P31="[MM/DD/YYYY]",Q31="[MM/DD/YYYY]",P31="",Q31=""),"",
IF(OR(ISTEXT(P31),ISTEXT(Q31)),"Yes",
IF(AND(P31&lt;Q31,P31&lt;='General Info &amp; Test Results'!$C$16,Q31&gt;='General Info &amp; Test Results'!$C$17),"Yes","No")))</f>
        <v/>
      </c>
      <c r="T31" s="176"/>
    </row>
    <row r="32" spans="2:20" x14ac:dyDescent="0.4">
      <c r="B32" s="171"/>
      <c r="C32" s="172"/>
      <c r="D32" s="172"/>
      <c r="E32" s="172"/>
      <c r="F32" s="172"/>
      <c r="G32" s="797" t="str">
        <f t="shared" si="0"/>
        <v/>
      </c>
      <c r="H32" s="493"/>
      <c r="I32" s="797" t="str">
        <f ca="1">IF($B32="","",
IF($B32="Other","N/A",
IF($B32="Smoke","ASTM-D-2156-80 (1980)",
OFFSET('Drop-Downs and Tables'!$E$246,MATCH($B32,'Drop-Downs and Tables'!$B$246:$B$265,0)-1,0))))</f>
        <v/>
      </c>
      <c r="J32" s="697"/>
      <c r="K32" s="697"/>
      <c r="L32" s="797" t="str">
        <f t="shared" si="1"/>
        <v/>
      </c>
      <c r="M32" s="796" t="str">
        <f ca="1">IF($B32="","",IF($B32="Other","N/A",IF($B32="Smoke","ASTM-D-2156-80 (1980)",OFFSET('Drop-Downs and Tables'!$D$246,MATCH($B32,'Drop-Downs and Tables'!$B$246:$B$265,0)-1,0))))</f>
        <v/>
      </c>
      <c r="N32" s="797" t="str">
        <f ca="1">IF($B32="","",
IF($B32="Other","N/A",
IF($B32="Smoke","ASTM-D-2156-80 (1980)",
OFFSET('Drop-Downs and Tables'!$E$246,MATCH($B32,'Drop-Downs and Tables'!$B$246:$B$265,0)-1,0))))</f>
        <v/>
      </c>
      <c r="O32" s="797" t="str">
        <f t="shared" si="2"/>
        <v/>
      </c>
      <c r="P32" s="483" t="s">
        <v>125</v>
      </c>
      <c r="Q32" s="483" t="s">
        <v>125</v>
      </c>
      <c r="R32" s="764" t="str">
        <f>IF(OR(P32="[MM/DD/YYYY]",Q32="[MM/DD/YYYY]",P32="",Q32=""),"",
IF(OR(ISTEXT(P32),ISTEXT(Q32)),"Yes",
IF(AND(P32&lt;Q32,P32&lt;='General Info &amp; Test Results'!$C$16,Q32&gt;='General Info &amp; Test Results'!$C$17),"Yes","No")))</f>
        <v/>
      </c>
      <c r="S32" s="175" t="str">
        <f>IF(OR(P32="[MM/DD/YYYY]",Q32="[MM/DD/YYYY]",P32="",Q32=""),"",
IF(OR(ISTEXT(P32),ISTEXT(Q32)),"Yes",
IF(AND(P32&lt;Q32,P32&lt;='General Info &amp; Test Results'!$C$16,Q32&gt;='General Info &amp; Test Results'!$C$17),"Yes","No")))</f>
        <v/>
      </c>
      <c r="T32" s="176"/>
    </row>
    <row r="33" spans="2:20" x14ac:dyDescent="0.4">
      <c r="B33" s="171"/>
      <c r="C33" s="695"/>
      <c r="D33" s="695"/>
      <c r="E33" s="695"/>
      <c r="F33" s="695"/>
      <c r="G33" s="797" t="str">
        <f t="shared" si="0"/>
        <v/>
      </c>
      <c r="H33" s="696"/>
      <c r="I33" s="797" t="str">
        <f ca="1">IF($B33="","",
IF($B33="Other","N/A",
IF($B33="Smoke","ASTM-D-2156-80 (1980)",
OFFSET('Drop-Downs and Tables'!$E$246,MATCH($B33,'Drop-Downs and Tables'!$B$246:$B$265,0)-1,0))))</f>
        <v/>
      </c>
      <c r="J33" s="698"/>
      <c r="K33" s="698"/>
      <c r="L33" s="797" t="str">
        <f t="shared" si="1"/>
        <v/>
      </c>
      <c r="M33" s="796" t="str">
        <f ca="1">IF($B33="","",IF($B33="Other","N/A",IF($B33="Smoke","ASTM-D-2156-80 (1980)",OFFSET('Drop-Downs and Tables'!$D$246,MATCH($B33,'Drop-Downs and Tables'!$B$246:$B$265,0)-1,0))))</f>
        <v/>
      </c>
      <c r="N33" s="797" t="str">
        <f ca="1">IF($B33="","",
IF($B33="Other","N/A",
IF($B33="Smoke","ASTM-D-2156-80 (1980)",
OFFSET('Drop-Downs and Tables'!$E$246,MATCH($B33,'Drop-Downs and Tables'!$B$246:$B$265,0)-1,0))))</f>
        <v/>
      </c>
      <c r="O33" s="797" t="str">
        <f t="shared" si="2"/>
        <v/>
      </c>
      <c r="P33" s="483" t="s">
        <v>125</v>
      </c>
      <c r="Q33" s="483" t="s">
        <v>125</v>
      </c>
      <c r="R33" s="764" t="str">
        <f>IF(OR(P33="[MM/DD/YYYY]",Q33="[MM/DD/YYYY]",P33="",Q33=""),"",
IF(OR(ISTEXT(P33),ISTEXT(Q33)),"Yes",
IF(AND(P33&lt;Q33,P33&lt;='General Info &amp; Test Results'!$C$16,Q33&gt;='General Info &amp; Test Results'!$C$17),"Yes","No")))</f>
        <v/>
      </c>
      <c r="T33" s="176"/>
    </row>
    <row r="34" spans="2:20" x14ac:dyDescent="0.4">
      <c r="B34" s="171"/>
      <c r="C34" s="695"/>
      <c r="D34" s="695"/>
      <c r="E34" s="695"/>
      <c r="F34" s="695"/>
      <c r="G34" s="797" t="str">
        <f t="shared" si="0"/>
        <v/>
      </c>
      <c r="H34" s="696"/>
      <c r="I34" s="797" t="str">
        <f ca="1">IF($B34="","",
IF($B34="Other","N/A",
IF($B34="Smoke","ASTM-D-2156-80 (1980)",
OFFSET('Drop-Downs and Tables'!$E$246,MATCH($B34,'Drop-Downs and Tables'!$B$246:$B$265,0)-1,0))))</f>
        <v/>
      </c>
      <c r="J34" s="698"/>
      <c r="K34" s="698"/>
      <c r="L34" s="797" t="str">
        <f t="shared" si="1"/>
        <v/>
      </c>
      <c r="M34" s="796" t="str">
        <f ca="1">IF($B34="","",IF($B34="Other","N/A",IF($B34="Smoke","ASTM-D-2156-80 (1980)",OFFSET('Drop-Downs and Tables'!$D$246,MATCH($B34,'Drop-Downs and Tables'!$B$246:$B$265,0)-1,0))))</f>
        <v/>
      </c>
      <c r="N34" s="797" t="str">
        <f ca="1">IF($B34="","",
IF($B34="Other","N/A",
IF($B34="Smoke","ASTM-D-2156-80 (1980)",
OFFSET('Drop-Downs and Tables'!$E$246,MATCH($B34,'Drop-Downs and Tables'!$B$246:$B$265,0)-1,0))))</f>
        <v/>
      </c>
      <c r="O34" s="797" t="str">
        <f t="shared" si="2"/>
        <v/>
      </c>
      <c r="P34" s="483" t="s">
        <v>125</v>
      </c>
      <c r="Q34" s="483" t="s">
        <v>125</v>
      </c>
      <c r="R34" s="764" t="str">
        <f>IF(OR(P34="[MM/DD/YYYY]",Q34="[MM/DD/YYYY]",P34="",Q34=""),"",
IF(OR(ISTEXT(P34),ISTEXT(Q34)),"Yes",
IF(AND(P34&lt;Q34,P34&lt;='General Info &amp; Test Results'!$C$16,Q34&gt;='General Info &amp; Test Results'!$C$17),"Yes","No")))</f>
        <v/>
      </c>
      <c r="T34" s="176"/>
    </row>
    <row r="35" spans="2:20" x14ac:dyDescent="0.4">
      <c r="B35" s="171"/>
      <c r="C35" s="695"/>
      <c r="D35" s="695"/>
      <c r="E35" s="695"/>
      <c r="F35" s="695"/>
      <c r="G35" s="797" t="str">
        <f t="shared" si="0"/>
        <v/>
      </c>
      <c r="H35" s="696"/>
      <c r="I35" s="797" t="str">
        <f ca="1">IF($B35="","",
IF($B35="Other","N/A",
IF($B35="Smoke","ASTM-D-2156-80 (1980)",
OFFSET('Drop-Downs and Tables'!$E$246,MATCH($B35,'Drop-Downs and Tables'!$B$246:$B$265,0)-1,0))))</f>
        <v/>
      </c>
      <c r="J35" s="698"/>
      <c r="K35" s="698"/>
      <c r="L35" s="797" t="str">
        <f t="shared" si="1"/>
        <v/>
      </c>
      <c r="M35" s="796" t="str">
        <f ca="1">IF($B35="","",IF($B35="Other","N/A",IF($B35="Smoke","ASTM-D-2156-80 (1980)",OFFSET('Drop-Downs and Tables'!$D$246,MATCH($B35,'Drop-Downs and Tables'!$B$246:$B$265,0)-1,0))))</f>
        <v/>
      </c>
      <c r="N35" s="797" t="str">
        <f ca="1">IF($B35="","",
IF($B35="Other","N/A",
IF($B35="Smoke","ASTM-D-2156-80 (1980)",
OFFSET('Drop-Downs and Tables'!$E$246,MATCH($B35,'Drop-Downs and Tables'!$B$246:$B$265,0)-1,0))))</f>
        <v/>
      </c>
      <c r="O35" s="797" t="str">
        <f t="shared" si="2"/>
        <v/>
      </c>
      <c r="P35" s="483" t="s">
        <v>125</v>
      </c>
      <c r="Q35" s="483" t="s">
        <v>125</v>
      </c>
      <c r="R35" s="764" t="str">
        <f>IF(OR(P35="[MM/DD/YYYY]",Q35="[MM/DD/YYYY]",P35="",Q35=""),"",
IF(OR(ISTEXT(P35),ISTEXT(Q35)),"Yes",
IF(AND(P35&lt;Q35,P35&lt;='General Info &amp; Test Results'!$C$16,Q35&gt;='General Info &amp; Test Results'!$C$17),"Yes","No")))</f>
        <v/>
      </c>
      <c r="T35" s="176"/>
    </row>
    <row r="36" spans="2:20" x14ac:dyDescent="0.4">
      <c r="B36" s="171"/>
      <c r="C36" s="695"/>
      <c r="D36" s="695"/>
      <c r="E36" s="695"/>
      <c r="F36" s="695"/>
      <c r="G36" s="797" t="str">
        <f t="shared" si="0"/>
        <v/>
      </c>
      <c r="H36" s="696"/>
      <c r="I36" s="797" t="str">
        <f ca="1">IF($B36="","",
IF($B36="Other","N/A",
IF($B36="Smoke","ASTM-D-2156-80 (1980)",
OFFSET('Drop-Downs and Tables'!$E$246,MATCH($B36,'Drop-Downs and Tables'!$B$246:$B$265,0)-1,0))))</f>
        <v/>
      </c>
      <c r="J36" s="698"/>
      <c r="K36" s="698"/>
      <c r="L36" s="797" t="str">
        <f t="shared" si="1"/>
        <v/>
      </c>
      <c r="M36" s="796" t="str">
        <f ca="1">IF($B36="","",IF($B36="Other","N/A",IF($B36="Smoke","ASTM-D-2156-80 (1980)",OFFSET('Drop-Downs and Tables'!$D$246,MATCH($B36,'Drop-Downs and Tables'!$B$246:$B$265,0)-1,0))))</f>
        <v/>
      </c>
      <c r="N36" s="797" t="str">
        <f ca="1">IF($B36="","",
IF($B36="Other","N/A",
IF($B36="Smoke","ASTM-D-2156-80 (1980)",
OFFSET('Drop-Downs and Tables'!$E$246,MATCH($B36,'Drop-Downs and Tables'!$B$246:$B$265,0)-1,0))))</f>
        <v/>
      </c>
      <c r="O36" s="797" t="str">
        <f t="shared" si="2"/>
        <v/>
      </c>
      <c r="P36" s="483" t="s">
        <v>125</v>
      </c>
      <c r="Q36" s="483" t="s">
        <v>125</v>
      </c>
      <c r="R36" s="764" t="str">
        <f>IF(OR(P36="[MM/DD/YYYY]",Q36="[MM/DD/YYYY]",P36="",Q36=""),"",
IF(OR(ISTEXT(P36),ISTEXT(Q36)),"Yes",
IF(AND(P36&lt;Q36,P36&lt;='General Info &amp; Test Results'!$C$16,Q36&gt;='General Info &amp; Test Results'!$C$17),"Yes","No")))</f>
        <v/>
      </c>
      <c r="T36" s="176"/>
    </row>
    <row r="37" spans="2:20" x14ac:dyDescent="0.4">
      <c r="B37" s="171"/>
      <c r="C37" s="695"/>
      <c r="D37" s="695"/>
      <c r="E37" s="695"/>
      <c r="F37" s="695"/>
      <c r="G37" s="797" t="str">
        <f t="shared" si="0"/>
        <v/>
      </c>
      <c r="H37" s="696"/>
      <c r="I37" s="797" t="str">
        <f ca="1">IF($B37="","",
IF($B37="Other","N/A",
IF($B37="Smoke","ASTM-D-2156-80 (1980)",
OFFSET('Drop-Downs and Tables'!$E$246,MATCH($B37,'Drop-Downs and Tables'!$B$246:$B$265,0)-1,0))))</f>
        <v/>
      </c>
      <c r="J37" s="698"/>
      <c r="K37" s="698"/>
      <c r="L37" s="797" t="str">
        <f t="shared" si="1"/>
        <v/>
      </c>
      <c r="M37" s="796" t="str">
        <f ca="1">IF($B37="","",IF($B37="Other","N/A",IF($B37="Smoke","ASTM-D-2156-80 (1980)",OFFSET('Drop-Downs and Tables'!$D$246,MATCH($B37,'Drop-Downs and Tables'!$B$246:$B$265,0)-1,0))))</f>
        <v/>
      </c>
      <c r="N37" s="797" t="str">
        <f ca="1">IF($B37="","",
IF($B37="Other","N/A",
IF($B37="Smoke","ASTM-D-2156-80 (1980)",
OFFSET('Drop-Downs and Tables'!$E$246,MATCH($B37,'Drop-Downs and Tables'!$B$246:$B$265,0)-1,0))))</f>
        <v/>
      </c>
      <c r="O37" s="797" t="str">
        <f t="shared" si="2"/>
        <v/>
      </c>
      <c r="P37" s="483" t="s">
        <v>125</v>
      </c>
      <c r="Q37" s="483" t="s">
        <v>125</v>
      </c>
      <c r="R37" s="764" t="str">
        <f>IF(OR(P37="[MM/DD/YYYY]",Q37="[MM/DD/YYYY]",P37="",Q37=""),"",
IF(OR(ISTEXT(P37),ISTEXT(Q37)),"Yes",
IF(AND(P37&lt;Q37,P37&lt;='General Info &amp; Test Results'!$C$16,Q37&gt;='General Info &amp; Test Results'!$C$17),"Yes","No")))</f>
        <v/>
      </c>
      <c r="T37" s="176"/>
    </row>
    <row r="38" spans="2:20" x14ac:dyDescent="0.4">
      <c r="B38" s="171"/>
      <c r="C38" s="695"/>
      <c r="D38" s="695"/>
      <c r="E38" s="695"/>
      <c r="F38" s="695"/>
      <c r="G38" s="797" t="str">
        <f t="shared" si="0"/>
        <v/>
      </c>
      <c r="H38" s="696"/>
      <c r="I38" s="797" t="str">
        <f ca="1">IF($B38="","",
IF($B38="Other","N/A",
IF($B38="Smoke","ASTM-D-2156-80 (1980)",
OFFSET('Drop-Downs and Tables'!$E$246,MATCH($B38,'Drop-Downs and Tables'!$B$246:$B$265,0)-1,0))))</f>
        <v/>
      </c>
      <c r="J38" s="698"/>
      <c r="K38" s="698"/>
      <c r="L38" s="797" t="str">
        <f t="shared" si="1"/>
        <v/>
      </c>
      <c r="M38" s="796" t="str">
        <f ca="1">IF($B38="","",IF($B38="Other","N/A",IF($B38="Smoke","ASTM-D-2156-80 (1980)",OFFSET('Drop-Downs and Tables'!$D$246,MATCH($B38,'Drop-Downs and Tables'!$B$246:$B$265,0)-1,0))))</f>
        <v/>
      </c>
      <c r="N38" s="797" t="str">
        <f ca="1">IF($B38="","",
IF($B38="Other","N/A",
IF($B38="Smoke","ASTM-D-2156-80 (1980)",
OFFSET('Drop-Downs and Tables'!$E$246,MATCH($B38,'Drop-Downs and Tables'!$B$246:$B$265,0)-1,0))))</f>
        <v/>
      </c>
      <c r="O38" s="797" t="str">
        <f t="shared" si="2"/>
        <v/>
      </c>
      <c r="P38" s="483" t="s">
        <v>125</v>
      </c>
      <c r="Q38" s="483" t="s">
        <v>125</v>
      </c>
      <c r="R38" s="764" t="str">
        <f>IF(OR(P38="[MM/DD/YYYY]",Q38="[MM/DD/YYYY]",P38="",Q38=""),"",
IF(OR(ISTEXT(P38),ISTEXT(Q38)),"Yes",
IF(AND(P38&lt;Q38,P38&lt;='General Info &amp; Test Results'!$C$16,Q38&gt;='General Info &amp; Test Results'!$C$17),"Yes","No")))</f>
        <v/>
      </c>
      <c r="T38" s="176"/>
    </row>
    <row r="39" spans="2:20" x14ac:dyDescent="0.4">
      <c r="B39" s="171"/>
      <c r="C39" s="695"/>
      <c r="D39" s="695"/>
      <c r="E39" s="695"/>
      <c r="F39" s="695"/>
      <c r="G39" s="797" t="str">
        <f t="shared" si="0"/>
        <v/>
      </c>
      <c r="H39" s="696"/>
      <c r="I39" s="797" t="str">
        <f ca="1">IF($B39="","",
IF($B39="Other","N/A",
IF($B39="Smoke","ASTM-D-2156-80 (1980)",
OFFSET('Drop-Downs and Tables'!$E$246,MATCH($B39,'Drop-Downs and Tables'!$B$246:$B$265,0)-1,0))))</f>
        <v/>
      </c>
      <c r="J39" s="698"/>
      <c r="K39" s="698"/>
      <c r="L39" s="797" t="str">
        <f t="shared" si="1"/>
        <v/>
      </c>
      <c r="M39" s="796" t="str">
        <f ca="1">IF($B39="","",IF($B39="Other","N/A",IF($B39="Smoke","ASTM-D-2156-80 (1980)",OFFSET('Drop-Downs and Tables'!$D$246,MATCH($B39,'Drop-Downs and Tables'!$B$246:$B$265,0)-1,0))))</f>
        <v/>
      </c>
      <c r="N39" s="797" t="str">
        <f ca="1">IF($B39="","",
IF($B39="Other","N/A",
IF($B39="Smoke","ASTM-D-2156-80 (1980)",
OFFSET('Drop-Downs and Tables'!$E$246,MATCH($B39,'Drop-Downs and Tables'!$B$246:$B$265,0)-1,0))))</f>
        <v/>
      </c>
      <c r="O39" s="797" t="str">
        <f t="shared" si="2"/>
        <v/>
      </c>
      <c r="P39" s="483" t="s">
        <v>125</v>
      </c>
      <c r="Q39" s="483" t="s">
        <v>125</v>
      </c>
      <c r="R39" s="764" t="str">
        <f>IF(OR(P39="[MM/DD/YYYY]",Q39="[MM/DD/YYYY]",P39="",Q39=""),"",
IF(OR(ISTEXT(P39),ISTEXT(Q39)),"Yes",
IF(AND(P39&lt;Q39,P39&lt;='General Info &amp; Test Results'!$C$16,Q39&gt;='General Info &amp; Test Results'!$C$17),"Yes","No")))</f>
        <v/>
      </c>
      <c r="T39" s="176"/>
    </row>
    <row r="40" spans="2:20" x14ac:dyDescent="0.4">
      <c r="B40" s="171"/>
      <c r="C40" s="695"/>
      <c r="D40" s="695"/>
      <c r="E40" s="695"/>
      <c r="F40" s="695"/>
      <c r="G40" s="797" t="str">
        <f t="shared" si="0"/>
        <v/>
      </c>
      <c r="H40" s="696"/>
      <c r="I40" s="797" t="str">
        <f ca="1">IF($B40="","",
IF($B40="Other","N/A",
IF($B40="Smoke","ASTM-D-2156-80 (1980)",
OFFSET('Drop-Downs and Tables'!$E$246,MATCH($B40,'Drop-Downs and Tables'!$B$246:$B$265,0)-1,0))))</f>
        <v/>
      </c>
      <c r="J40" s="698"/>
      <c r="K40" s="698"/>
      <c r="L40" s="797" t="str">
        <f t="shared" si="1"/>
        <v/>
      </c>
      <c r="M40" s="796" t="str">
        <f ca="1">IF($B40="","",IF($B40="Other","N/A",IF($B40="Smoke","ASTM-D-2156-80 (1980)",OFFSET('Drop-Downs and Tables'!$D$246,MATCH($B40,'Drop-Downs and Tables'!$B$246:$B$265,0)-1,0))))</f>
        <v/>
      </c>
      <c r="N40" s="797" t="str">
        <f ca="1">IF($B40="","",
IF($B40="Other","N/A",
IF($B40="Smoke","ASTM-D-2156-80 (1980)",
OFFSET('Drop-Downs and Tables'!$E$246,MATCH($B40,'Drop-Downs and Tables'!$B$246:$B$265,0)-1,0))))</f>
        <v/>
      </c>
      <c r="O40" s="797" t="str">
        <f t="shared" si="2"/>
        <v/>
      </c>
      <c r="P40" s="483" t="s">
        <v>125</v>
      </c>
      <c r="Q40" s="483" t="s">
        <v>125</v>
      </c>
      <c r="R40" s="764" t="str">
        <f>IF(OR(P40="[MM/DD/YYYY]",Q40="[MM/DD/YYYY]",P40="",Q40=""),"",
IF(OR(ISTEXT(P40),ISTEXT(Q40)),"Yes",
IF(AND(P40&lt;Q40,P40&lt;='General Info &amp; Test Results'!$C$16,Q40&gt;='General Info &amp; Test Results'!$C$17),"Yes","No")))</f>
        <v/>
      </c>
      <c r="T40" s="176"/>
    </row>
    <row r="41" spans="2:20" x14ac:dyDescent="0.4">
      <c r="B41" s="171"/>
      <c r="C41" s="695"/>
      <c r="D41" s="695"/>
      <c r="E41" s="695"/>
      <c r="F41" s="695"/>
      <c r="G41" s="797" t="str">
        <f t="shared" si="0"/>
        <v/>
      </c>
      <c r="H41" s="696"/>
      <c r="I41" s="797" t="str">
        <f ca="1">IF($B41="","",
IF($B41="Other","N/A",
IF($B41="Smoke","ASTM-D-2156-80 (1980)",
OFFSET('Drop-Downs and Tables'!$E$246,MATCH($B41,'Drop-Downs and Tables'!$B$246:$B$265,0)-1,0))))</f>
        <v/>
      </c>
      <c r="J41" s="698"/>
      <c r="K41" s="698"/>
      <c r="L41" s="797" t="str">
        <f t="shared" si="1"/>
        <v/>
      </c>
      <c r="M41" s="796" t="str">
        <f ca="1">IF($B41="","",IF($B41="Other","N/A",IF($B41="Smoke","ASTM-D-2156-80 (1980)",OFFSET('Drop-Downs and Tables'!$D$246,MATCH($B41,'Drop-Downs and Tables'!$B$246:$B$265,0)-1,0))))</f>
        <v/>
      </c>
      <c r="N41" s="797" t="str">
        <f ca="1">IF($B41="","",
IF($B41="Other","N/A",
IF($B41="Smoke","ASTM-D-2156-80 (1980)",
OFFSET('Drop-Downs and Tables'!$E$246,MATCH($B41,'Drop-Downs and Tables'!$B$246:$B$265,0)-1,0))))</f>
        <v/>
      </c>
      <c r="O41" s="797" t="str">
        <f t="shared" si="2"/>
        <v/>
      </c>
      <c r="P41" s="483" t="s">
        <v>125</v>
      </c>
      <c r="Q41" s="483" t="s">
        <v>125</v>
      </c>
      <c r="R41" s="764" t="str">
        <f>IF(OR(P41="[MM/DD/YYYY]",Q41="[MM/DD/YYYY]",P41="",Q41=""),"",
IF(OR(ISTEXT(P41),ISTEXT(Q41)),"Yes",
IF(AND(P41&lt;Q41,P41&lt;='General Info &amp; Test Results'!$C$16,Q41&gt;='General Info &amp; Test Results'!$C$17),"Yes","No")))</f>
        <v/>
      </c>
      <c r="T41" s="176"/>
    </row>
    <row r="42" spans="2:20" x14ac:dyDescent="0.4">
      <c r="B42" s="171"/>
      <c r="C42" s="695"/>
      <c r="D42" s="695"/>
      <c r="E42" s="695"/>
      <c r="F42" s="695"/>
      <c r="G42" s="797" t="str">
        <f t="shared" si="0"/>
        <v/>
      </c>
      <c r="H42" s="696"/>
      <c r="I42" s="797" t="str">
        <f ca="1">IF($B42="","",
IF($B42="Other","N/A",
IF($B42="Smoke","ASTM-D-2156-80 (1980)",
OFFSET('Drop-Downs and Tables'!$E$246,MATCH($B42,'Drop-Downs and Tables'!$B$246:$B$265,0)-1,0))))</f>
        <v/>
      </c>
      <c r="J42" s="698"/>
      <c r="K42" s="698"/>
      <c r="L42" s="797" t="str">
        <f t="shared" si="1"/>
        <v/>
      </c>
      <c r="M42" s="796" t="str">
        <f ca="1">IF($B42="","",IF($B42="Other","N/A",IF($B42="Smoke","ASTM-D-2156-80 (1980)",OFFSET('Drop-Downs and Tables'!$D$246,MATCH($B42,'Drop-Downs and Tables'!$B$246:$B$265,0)-1,0))))</f>
        <v/>
      </c>
      <c r="N42" s="797" t="str">
        <f ca="1">IF($B42="","",
IF($B42="Other","N/A",
IF($B42="Smoke","ASTM-D-2156-80 (1980)",
OFFSET('Drop-Downs and Tables'!$E$246,MATCH($B42,'Drop-Downs and Tables'!$B$246:$B$265,0)-1,0))))</f>
        <v/>
      </c>
      <c r="O42" s="797" t="str">
        <f t="shared" si="2"/>
        <v/>
      </c>
      <c r="P42" s="483" t="s">
        <v>125</v>
      </c>
      <c r="Q42" s="483" t="s">
        <v>125</v>
      </c>
      <c r="R42" s="764" t="str">
        <f>IF(OR(P42="[MM/DD/YYYY]",Q42="[MM/DD/YYYY]",P42="",Q42=""),"",
IF(OR(ISTEXT(P42),ISTEXT(Q42)),"Yes",
IF(AND(P42&lt;Q42,P42&lt;='General Info &amp; Test Results'!$C$16,Q42&gt;='General Info &amp; Test Results'!$C$17),"Yes","No")))</f>
        <v/>
      </c>
      <c r="T42" s="176"/>
    </row>
    <row r="43" spans="2:20" x14ac:dyDescent="0.4">
      <c r="B43" s="171"/>
      <c r="C43" s="695"/>
      <c r="D43" s="695"/>
      <c r="E43" s="695"/>
      <c r="F43" s="695"/>
      <c r="G43" s="797" t="str">
        <f t="shared" si="0"/>
        <v/>
      </c>
      <c r="H43" s="696"/>
      <c r="I43" s="797" t="str">
        <f ca="1">IF($B43="","",
IF($B43="Other","N/A",
IF($B43="Smoke","ASTM-D-2156-80 (1980)",
OFFSET('Drop-Downs and Tables'!$E$246,MATCH($B43,'Drop-Downs and Tables'!$B$246:$B$265,0)-1,0))))</f>
        <v/>
      </c>
      <c r="J43" s="698"/>
      <c r="K43" s="698"/>
      <c r="L43" s="797" t="str">
        <f t="shared" si="1"/>
        <v/>
      </c>
      <c r="M43" s="796" t="str">
        <f ca="1">IF($B43="","",IF($B43="Other","N/A",IF($B43="Smoke","ASTM-D-2156-80 (1980)",OFFSET('Drop-Downs and Tables'!$D$246,MATCH($B43,'Drop-Downs and Tables'!$B$246:$B$265,0)-1,0))))</f>
        <v/>
      </c>
      <c r="N43" s="797" t="str">
        <f ca="1">IF($B43="","",
IF($B43="Other","N/A",
IF($B43="Smoke","ASTM-D-2156-80 (1980)",
OFFSET('Drop-Downs and Tables'!$E$246,MATCH($B43,'Drop-Downs and Tables'!$B$246:$B$265,0)-1,0))))</f>
        <v/>
      </c>
      <c r="O43" s="797" t="str">
        <f t="shared" si="2"/>
        <v/>
      </c>
      <c r="P43" s="483" t="s">
        <v>125</v>
      </c>
      <c r="Q43" s="483" t="s">
        <v>125</v>
      </c>
      <c r="R43" s="764" t="str">
        <f>IF(OR(P43="[MM/DD/YYYY]",Q43="[MM/DD/YYYY]",P43="",Q43=""),"",
IF(OR(ISTEXT(P43),ISTEXT(Q43)),"Yes",
IF(AND(P43&lt;Q43,P43&lt;='General Info &amp; Test Results'!$C$16,Q43&gt;='General Info &amp; Test Results'!$C$17),"Yes","No")))</f>
        <v/>
      </c>
      <c r="T43" s="176"/>
    </row>
    <row r="44" spans="2:20" x14ac:dyDescent="0.4">
      <c r="B44" s="171"/>
      <c r="C44" s="695"/>
      <c r="D44" s="695"/>
      <c r="E44" s="695"/>
      <c r="F44" s="695"/>
      <c r="G44" s="797" t="str">
        <f t="shared" si="0"/>
        <v/>
      </c>
      <c r="H44" s="696"/>
      <c r="I44" s="797" t="str">
        <f ca="1">IF($B44="","",
IF($B44="Other","N/A",
IF($B44="Smoke","ASTM-D-2156-80 (1980)",
OFFSET('Drop-Downs and Tables'!$E$246,MATCH($B44,'Drop-Downs and Tables'!$B$246:$B$265,0)-1,0))))</f>
        <v/>
      </c>
      <c r="J44" s="698"/>
      <c r="K44" s="698"/>
      <c r="L44" s="797" t="str">
        <f t="shared" si="1"/>
        <v/>
      </c>
      <c r="M44" s="796" t="str">
        <f ca="1">IF($B44="","",IF($B44="Other","N/A",IF($B44="Smoke","ASTM-D-2156-80 (1980)",OFFSET('Drop-Downs and Tables'!$D$246,MATCH($B44,'Drop-Downs and Tables'!$B$246:$B$265,0)-1,0))))</f>
        <v/>
      </c>
      <c r="N44" s="797" t="str">
        <f ca="1">IF($B44="","",
IF($B44="Other","N/A",
IF($B44="Smoke","ASTM-D-2156-80 (1980)",
OFFSET('Drop-Downs and Tables'!$E$246,MATCH($B44,'Drop-Downs and Tables'!$B$246:$B$265,0)-1,0))))</f>
        <v/>
      </c>
      <c r="O44" s="797" t="str">
        <f t="shared" si="2"/>
        <v/>
      </c>
      <c r="P44" s="483" t="s">
        <v>125</v>
      </c>
      <c r="Q44" s="483" t="s">
        <v>125</v>
      </c>
      <c r="R44" s="764" t="str">
        <f>IF(OR(P44="[MM/DD/YYYY]",Q44="[MM/DD/YYYY]",P44="",Q44=""),"",
IF(OR(ISTEXT(P44),ISTEXT(Q44)),"Yes",
IF(AND(P44&lt;Q44,P44&lt;='General Info &amp; Test Results'!$C$16,Q44&gt;='General Info &amp; Test Results'!$C$17),"Yes","No")))</f>
        <v/>
      </c>
      <c r="T44" s="176"/>
    </row>
    <row r="45" spans="2:20" x14ac:dyDescent="0.4">
      <c r="B45" s="171"/>
      <c r="C45" s="695"/>
      <c r="D45" s="695"/>
      <c r="E45" s="695"/>
      <c r="F45" s="695"/>
      <c r="G45" s="797" t="str">
        <f t="shared" si="0"/>
        <v/>
      </c>
      <c r="H45" s="696"/>
      <c r="I45" s="797" t="str">
        <f ca="1">IF($B45="","",
IF($B45="Other","N/A",
IF($B45="Smoke","ASTM-D-2156-80 (1980)",
OFFSET('Drop-Downs and Tables'!$E$246,MATCH($B45,'Drop-Downs and Tables'!$B$246:$B$265,0)-1,0))))</f>
        <v/>
      </c>
      <c r="J45" s="698"/>
      <c r="K45" s="698"/>
      <c r="L45" s="797" t="str">
        <f t="shared" si="1"/>
        <v/>
      </c>
      <c r="M45" s="796" t="str">
        <f ca="1">IF($B45="","",IF($B45="Other","N/A",IF($B45="Smoke","ASTM-D-2156-80 (1980)",OFFSET('Drop-Downs and Tables'!$D$246,MATCH($B45,'Drop-Downs and Tables'!$B$246:$B$265,0)-1,0))))</f>
        <v/>
      </c>
      <c r="N45" s="797" t="str">
        <f ca="1">IF($B45="","",
IF($B45="Other","N/A",
IF($B45="Smoke","ASTM-D-2156-80 (1980)",
OFFSET('Drop-Downs and Tables'!$E$246,MATCH($B45,'Drop-Downs and Tables'!$B$246:$B$265,0)-1,0))))</f>
        <v/>
      </c>
      <c r="O45" s="797" t="str">
        <f t="shared" si="2"/>
        <v/>
      </c>
      <c r="P45" s="483" t="s">
        <v>125</v>
      </c>
      <c r="Q45" s="483" t="s">
        <v>125</v>
      </c>
      <c r="R45" s="764" t="str">
        <f>IF(OR(P45="[MM/DD/YYYY]",Q45="[MM/DD/YYYY]",P45="",Q45=""),"",
IF(OR(ISTEXT(P45),ISTEXT(Q45)),"Yes",
IF(AND(P45&lt;Q45,P45&lt;='General Info &amp; Test Results'!$C$16,Q45&gt;='General Info &amp; Test Results'!$C$17),"Yes","No")))</f>
        <v/>
      </c>
      <c r="T45" s="176"/>
    </row>
    <row r="46" spans="2:20" x14ac:dyDescent="0.4">
      <c r="B46" s="171"/>
      <c r="C46" s="695"/>
      <c r="D46" s="695"/>
      <c r="E46" s="695"/>
      <c r="F46" s="695"/>
      <c r="G46" s="797" t="str">
        <f t="shared" si="0"/>
        <v/>
      </c>
      <c r="H46" s="696"/>
      <c r="I46" s="797" t="str">
        <f ca="1">IF($B46="","",
IF($B46="Other","N/A",
IF($B46="Smoke","ASTM-D-2156-80 (1980)",
OFFSET('Drop-Downs and Tables'!$E$246,MATCH($B46,'Drop-Downs and Tables'!$B$246:$B$265,0)-1,0))))</f>
        <v/>
      </c>
      <c r="J46" s="698"/>
      <c r="K46" s="698"/>
      <c r="L46" s="797" t="str">
        <f t="shared" si="1"/>
        <v/>
      </c>
      <c r="M46" s="796" t="str">
        <f ca="1">IF($B46="","",IF($B46="Other","N/A",IF($B46="Smoke","ASTM-D-2156-80 (1980)",OFFSET('Drop-Downs and Tables'!$D$246,MATCH($B46,'Drop-Downs and Tables'!$B$246:$B$265,0)-1,0))))</f>
        <v/>
      </c>
      <c r="N46" s="797" t="str">
        <f ca="1">IF($B46="","",
IF($B46="Other","N/A",
IF($B46="Smoke","ASTM-D-2156-80 (1980)",
OFFSET('Drop-Downs and Tables'!$E$246,MATCH($B46,'Drop-Downs and Tables'!$B$246:$B$265,0)-1,0))))</f>
        <v/>
      </c>
      <c r="O46" s="797" t="str">
        <f t="shared" si="2"/>
        <v/>
      </c>
      <c r="P46" s="483" t="s">
        <v>125</v>
      </c>
      <c r="Q46" s="483" t="s">
        <v>125</v>
      </c>
      <c r="R46" s="764" t="str">
        <f>IF(OR(P46="[MM/DD/YYYY]",Q46="[MM/DD/YYYY]",P46="",Q46=""),"",
IF(OR(ISTEXT(P46),ISTEXT(Q46)),"Yes",
IF(AND(P46&lt;Q46,P46&lt;='General Info &amp; Test Results'!$C$16,Q46&gt;='General Info &amp; Test Results'!$C$17),"Yes","No")))</f>
        <v/>
      </c>
      <c r="T46" s="176"/>
    </row>
    <row r="47" spans="2:20" x14ac:dyDescent="0.4">
      <c r="B47" s="171"/>
      <c r="C47" s="695"/>
      <c r="D47" s="695"/>
      <c r="E47" s="695"/>
      <c r="F47" s="695"/>
      <c r="G47" s="797" t="str">
        <f t="shared" si="0"/>
        <v/>
      </c>
      <c r="H47" s="696"/>
      <c r="I47" s="797" t="str">
        <f ca="1">IF($B47="","",
IF($B47="Other","N/A",
IF($B47="Smoke","ASTM-D-2156-80 (1980)",
OFFSET('Drop-Downs and Tables'!$E$246,MATCH($B47,'Drop-Downs and Tables'!$B$246:$B$265,0)-1,0))))</f>
        <v/>
      </c>
      <c r="J47" s="698"/>
      <c r="K47" s="698"/>
      <c r="L47" s="797" t="str">
        <f t="shared" si="1"/>
        <v/>
      </c>
      <c r="M47" s="796" t="str">
        <f ca="1">IF($B47="","",IF($B47="Other","N/A",IF($B47="Smoke","ASTM-D-2156-80 (1980)",OFFSET('Drop-Downs and Tables'!$D$246,MATCH($B47,'Drop-Downs and Tables'!$B$246:$B$265,0)-1,0))))</f>
        <v/>
      </c>
      <c r="N47" s="797" t="str">
        <f ca="1">IF($B47="","",
IF($B47="Other","N/A",
IF($B47="Smoke","ASTM-D-2156-80 (1980)",
OFFSET('Drop-Downs and Tables'!$E$246,MATCH($B47,'Drop-Downs and Tables'!$B$246:$B$265,0)-1,0))))</f>
        <v/>
      </c>
      <c r="O47" s="797" t="str">
        <f t="shared" si="2"/>
        <v/>
      </c>
      <c r="P47" s="483" t="s">
        <v>125</v>
      </c>
      <c r="Q47" s="483" t="s">
        <v>125</v>
      </c>
      <c r="R47" s="764" t="str">
        <f>IF(OR(P47="[MM/DD/YYYY]",Q47="[MM/DD/YYYY]",P47="",Q47=""),"",
IF(OR(ISTEXT(P47),ISTEXT(Q47)),"Yes",
IF(AND(P47&lt;Q47,P47&lt;='General Info &amp; Test Results'!$C$16,Q47&gt;='General Info &amp; Test Results'!$C$17),"Yes","No")))</f>
        <v/>
      </c>
      <c r="T47" s="176"/>
    </row>
    <row r="48" spans="2:20" x14ac:dyDescent="0.4">
      <c r="B48" s="171"/>
      <c r="C48" s="695"/>
      <c r="D48" s="695"/>
      <c r="E48" s="695"/>
      <c r="F48" s="695"/>
      <c r="G48" s="797" t="str">
        <f t="shared" si="0"/>
        <v/>
      </c>
      <c r="H48" s="696"/>
      <c r="I48" s="797" t="str">
        <f ca="1">IF($B48="","",
IF($B48="Other","N/A",
IF($B48="Smoke","ASTM-D-2156-80 (1980)",
OFFSET('Drop-Downs and Tables'!$E$246,MATCH($B48,'Drop-Downs and Tables'!$B$246:$B$265,0)-1,0))))</f>
        <v/>
      </c>
      <c r="J48" s="698"/>
      <c r="K48" s="698"/>
      <c r="L48" s="797" t="str">
        <f t="shared" si="1"/>
        <v/>
      </c>
      <c r="M48" s="796" t="str">
        <f ca="1">IF($B48="","",IF($B48="Other","N/A",IF($B48="Smoke","ASTM-D-2156-80 (1980)",OFFSET('Drop-Downs and Tables'!$D$246,MATCH($B48,'Drop-Downs and Tables'!$B$246:$B$265,0)-1,0))))</f>
        <v/>
      </c>
      <c r="N48" s="797" t="str">
        <f ca="1">IF($B48="","",
IF($B48="Other","N/A",
IF($B48="Smoke","ASTM-D-2156-80 (1980)",
OFFSET('Drop-Downs and Tables'!$E$246,MATCH($B48,'Drop-Downs and Tables'!$B$246:$B$265,0)-1,0))))</f>
        <v/>
      </c>
      <c r="O48" s="797" t="str">
        <f t="shared" si="2"/>
        <v/>
      </c>
      <c r="P48" s="483" t="s">
        <v>125</v>
      </c>
      <c r="Q48" s="483" t="s">
        <v>125</v>
      </c>
      <c r="R48" s="764" t="str">
        <f>IF(OR(P48="[MM/DD/YYYY]",Q48="[MM/DD/YYYY]",P48="",Q48=""),"",
IF(OR(ISTEXT(P48),ISTEXT(Q48)),"Yes",
IF(AND(P48&lt;Q48,P48&lt;='General Info &amp; Test Results'!$C$16,Q48&gt;='General Info &amp; Test Results'!$C$17),"Yes","No")))</f>
        <v/>
      </c>
      <c r="T48" s="176"/>
    </row>
    <row r="49" spans="1:20" x14ac:dyDescent="0.4">
      <c r="B49" s="171"/>
      <c r="C49" s="695"/>
      <c r="D49" s="695"/>
      <c r="E49" s="695"/>
      <c r="F49" s="695"/>
      <c r="G49" s="797" t="str">
        <f t="shared" si="0"/>
        <v/>
      </c>
      <c r="H49" s="696"/>
      <c r="I49" s="797" t="str">
        <f ca="1">IF($B49="","",
IF($B49="Other","N/A",
IF($B49="Smoke","ASTM-D-2156-80 (1980)",
OFFSET('Drop-Downs and Tables'!$E$246,MATCH($B49,'Drop-Downs and Tables'!$B$246:$B$265,0)-1,0))))</f>
        <v/>
      </c>
      <c r="J49" s="698"/>
      <c r="K49" s="698"/>
      <c r="L49" s="797" t="str">
        <f t="shared" si="1"/>
        <v/>
      </c>
      <c r="M49" s="796" t="str">
        <f ca="1">IF($B49="","",IF($B49="Other","N/A",IF($B49="Smoke","ASTM-D-2156-80 (1980)",OFFSET('Drop-Downs and Tables'!$D$246,MATCH($B49,'Drop-Downs and Tables'!$B$246:$B$265,0)-1,0))))</f>
        <v/>
      </c>
      <c r="N49" s="797" t="str">
        <f ca="1">IF($B49="","",
IF($B49="Other","N/A",
IF($B49="Smoke","ASTM-D-2156-80 (1980)",
OFFSET('Drop-Downs and Tables'!$E$246,MATCH($B49,'Drop-Downs and Tables'!$B$246:$B$265,0)-1,0))))</f>
        <v/>
      </c>
      <c r="O49" s="797" t="str">
        <f t="shared" si="2"/>
        <v/>
      </c>
      <c r="P49" s="483" t="s">
        <v>125</v>
      </c>
      <c r="Q49" s="483" t="s">
        <v>125</v>
      </c>
      <c r="R49" s="764" t="str">
        <f>IF(OR(P49="[MM/DD/YYYY]",Q49="[MM/DD/YYYY]",P49="",Q49=""),"",
IF(OR(ISTEXT(P49),ISTEXT(Q49)),"Yes",
IF(AND(P49&lt;Q49,P49&lt;='General Info &amp; Test Results'!$C$16,Q49&gt;='General Info &amp; Test Results'!$C$17),"Yes","No")))</f>
        <v/>
      </c>
      <c r="T49" s="176"/>
    </row>
    <row r="50" spans="1:20" x14ac:dyDescent="0.4">
      <c r="B50" s="171"/>
      <c r="C50" s="695"/>
      <c r="D50" s="695"/>
      <c r="E50" s="695"/>
      <c r="F50" s="695"/>
      <c r="G50" s="797" t="str">
        <f t="shared" si="0"/>
        <v/>
      </c>
      <c r="H50" s="696"/>
      <c r="I50" s="797" t="str">
        <f ca="1">IF($B50="","",
IF($B50="Other","N/A",
IF($B50="Smoke","ASTM-D-2156-80 (1980)",
OFFSET('Drop-Downs and Tables'!$E$246,MATCH($B50,'Drop-Downs and Tables'!$B$246:$B$265,0)-1,0))))</f>
        <v/>
      </c>
      <c r="J50" s="698"/>
      <c r="K50" s="698"/>
      <c r="L50" s="797" t="str">
        <f t="shared" si="1"/>
        <v/>
      </c>
      <c r="M50" s="796" t="str">
        <f ca="1">IF($B50="","",IF($B50="Other","N/A",IF($B50="Smoke","ASTM-D-2156-80 (1980)",OFFSET('Drop-Downs and Tables'!$D$246,MATCH($B50,'Drop-Downs and Tables'!$B$246:$B$265,0)-1,0))))</f>
        <v/>
      </c>
      <c r="N50" s="797" t="str">
        <f ca="1">IF($B50="","",
IF($B50="Other","N/A",
IF($B50="Smoke","ASTM-D-2156-80 (1980)",
OFFSET('Drop-Downs and Tables'!$E$246,MATCH($B50,'Drop-Downs and Tables'!$B$246:$B$265,0)-1,0))))</f>
        <v/>
      </c>
      <c r="O50" s="797" t="str">
        <f t="shared" si="2"/>
        <v/>
      </c>
      <c r="P50" s="483" t="s">
        <v>125</v>
      </c>
      <c r="Q50" s="483" t="s">
        <v>125</v>
      </c>
      <c r="R50" s="764" t="str">
        <f>IF(OR(P50="[MM/DD/YYYY]",Q50="[MM/DD/YYYY]",P50="",Q50=""),"",
IF(OR(ISTEXT(P50),ISTEXT(Q50)),"Yes",
IF(AND(P50&lt;Q50,P50&lt;='General Info &amp; Test Results'!$C$16,Q50&gt;='General Info &amp; Test Results'!$C$17),"Yes","No")))</f>
        <v/>
      </c>
      <c r="T50" s="176"/>
    </row>
    <row r="51" spans="1:20" x14ac:dyDescent="0.4">
      <c r="B51" s="171"/>
      <c r="C51" s="695"/>
      <c r="D51" s="695"/>
      <c r="E51" s="695"/>
      <c r="F51" s="695"/>
      <c r="G51" s="797" t="str">
        <f t="shared" si="0"/>
        <v/>
      </c>
      <c r="H51" s="696"/>
      <c r="I51" s="797" t="str">
        <f ca="1">IF($B51="","",
IF($B51="Other","N/A",
IF($B51="Smoke","ASTM-D-2156-80 (1980)",
OFFSET('Drop-Downs and Tables'!$E$246,MATCH($B51,'Drop-Downs and Tables'!$B$246:$B$265,0)-1,0))))</f>
        <v/>
      </c>
      <c r="J51" s="698"/>
      <c r="K51" s="698"/>
      <c r="L51" s="797" t="str">
        <f t="shared" si="1"/>
        <v/>
      </c>
      <c r="M51" s="796" t="str">
        <f ca="1">IF($B51="","",IF($B51="Other","N/A",IF($B51="Smoke","ASTM-D-2156-80 (1980)",OFFSET('Drop-Downs and Tables'!$D$246,MATCH($B51,'Drop-Downs and Tables'!$B$246:$B$265,0)-1,0))))</f>
        <v/>
      </c>
      <c r="N51" s="797" t="str">
        <f ca="1">IF($B51="","",
IF($B51="Other","N/A",
IF($B51="Smoke","ASTM-D-2156-80 (1980)",
OFFSET('Drop-Downs and Tables'!$E$246,MATCH($B51,'Drop-Downs and Tables'!$B$246:$B$265,0)-1,0))))</f>
        <v/>
      </c>
      <c r="O51" s="797" t="str">
        <f t="shared" si="2"/>
        <v/>
      </c>
      <c r="P51" s="483" t="s">
        <v>125</v>
      </c>
      <c r="Q51" s="483" t="s">
        <v>125</v>
      </c>
      <c r="R51" s="764" t="str">
        <f>IF(OR(P51="[MM/DD/YYYY]",Q51="[MM/DD/YYYY]",P51="",Q51=""),"",
IF(OR(ISTEXT(P51),ISTEXT(Q51)),"Yes",
IF(AND(P51&lt;Q51,P51&lt;='General Info &amp; Test Results'!$C$16,Q51&gt;='General Info &amp; Test Results'!$C$17),"Yes","No")))</f>
        <v/>
      </c>
      <c r="T51" s="176"/>
    </row>
    <row r="52" spans="1:20" x14ac:dyDescent="0.4">
      <c r="B52" s="171"/>
      <c r="C52" s="695"/>
      <c r="D52" s="695"/>
      <c r="E52" s="695"/>
      <c r="F52" s="695"/>
      <c r="G52" s="797" t="str">
        <f t="shared" si="0"/>
        <v/>
      </c>
      <c r="H52" s="696"/>
      <c r="I52" s="797" t="str">
        <f ca="1">IF($B52="","",
IF($B52="Other","N/A",
IF($B52="Smoke","ASTM-D-2156-80 (1980)",
OFFSET('Drop-Downs and Tables'!$E$246,MATCH($B52,'Drop-Downs and Tables'!$B$246:$B$265,0)-1,0))))</f>
        <v/>
      </c>
      <c r="J52" s="698"/>
      <c r="K52" s="698"/>
      <c r="L52" s="797" t="str">
        <f t="shared" si="1"/>
        <v/>
      </c>
      <c r="M52" s="796" t="str">
        <f ca="1">IF($B52="","",IF($B52="Other","N/A",IF($B52="Smoke","ASTM-D-2156-80 (1980)",OFFSET('Drop-Downs and Tables'!$D$246,MATCH($B52,'Drop-Downs and Tables'!$B$246:$B$265,0)-1,0))))</f>
        <v/>
      </c>
      <c r="N52" s="797" t="str">
        <f ca="1">IF($B52="","",
IF($B52="Other","N/A",
IF($B52="Smoke","ASTM-D-2156-80 (1980)",
OFFSET('Drop-Downs and Tables'!$E$246,MATCH($B52,'Drop-Downs and Tables'!$B$246:$B$265,0)-1,0))))</f>
        <v/>
      </c>
      <c r="O52" s="797" t="str">
        <f t="shared" si="2"/>
        <v/>
      </c>
      <c r="P52" s="483" t="s">
        <v>125</v>
      </c>
      <c r="Q52" s="483" t="s">
        <v>125</v>
      </c>
      <c r="R52" s="764" t="str">
        <f>IF(OR(P52="[MM/DD/YYYY]",Q52="[MM/DD/YYYY]",P52="",Q52=""),"",
IF(OR(ISTEXT(P52),ISTEXT(Q52)),"Yes",
IF(AND(P52&lt;Q52,P52&lt;='General Info &amp; Test Results'!$C$16,Q52&gt;='General Info &amp; Test Results'!$C$17),"Yes","No")))</f>
        <v/>
      </c>
      <c r="T52" s="176"/>
    </row>
    <row r="53" spans="1:20" ht="16" thickBot="1" x14ac:dyDescent="0.45">
      <c r="B53" s="173"/>
      <c r="C53" s="174"/>
      <c r="D53" s="174"/>
      <c r="E53" s="174"/>
      <c r="F53" s="174"/>
      <c r="G53" s="798" t="str">
        <f t="shared" si="0"/>
        <v/>
      </c>
      <c r="H53" s="494"/>
      <c r="I53" s="798" t="str">
        <f ca="1">IF($B53="","",
IF($B53="Other","N/A",
IF($B53="Smoke","ASTM-D-2156-80 (1980)",
OFFSET('Drop-Downs and Tables'!$E$246,MATCH($B53,'Drop-Downs and Tables'!$B$246:$B$265,0)-1,0))))</f>
        <v/>
      </c>
      <c r="J53" s="699"/>
      <c r="K53" s="699"/>
      <c r="L53" s="798" t="str">
        <f t="shared" si="1"/>
        <v/>
      </c>
      <c r="M53" s="799" t="str">
        <f ca="1">IF($B53="","",IF($B53="Other","N/A",IF($B53="Smoke","ASTM-D-2156-80 (1980)",OFFSET('Drop-Downs and Tables'!$D$246,MATCH($B53,'Drop-Downs and Tables'!$B$246:$B$265,0)-1,0))))</f>
        <v/>
      </c>
      <c r="N53" s="798" t="str">
        <f ca="1">IF($B53="","",
IF($B53="Other","N/A",
IF($B53="Smoke","ASTM-D-2156-80 (1980)",
OFFSET('Drop-Downs and Tables'!$E$246,MATCH($B53,'Drop-Downs and Tables'!$B$246:$B$265,0)-1,0))))</f>
        <v/>
      </c>
      <c r="O53" s="798" t="str">
        <f t="shared" si="2"/>
        <v/>
      </c>
      <c r="P53" s="492" t="s">
        <v>125</v>
      </c>
      <c r="Q53" s="492" t="s">
        <v>125</v>
      </c>
      <c r="R53" s="765" t="str">
        <f>IF(OR(P53="[MM/DD/YYYY]",Q53="[MM/DD/YYYY]",P53="",Q53=""),"",
IF(OR(ISTEXT(P53),ISTEXT(Q53)),"Yes",
IF(AND(P53&lt;Q53,P53&lt;='General Info &amp; Test Results'!$C$16,Q53&gt;='General Info &amp; Test Results'!$C$17),"Yes","No")))</f>
        <v/>
      </c>
      <c r="S53" s="175" t="str">
        <f>IF(OR(P53="[MM/DD/YYYY]",Q53="[MM/DD/YYYY]",P53="",Q53=""),"",
IF(OR(ISTEXT(P53),ISTEXT(Q53)),"Yes",
IF(AND(P53&lt;Q53,P53&lt;='General Info &amp; Test Results'!$C$16,Q53&gt;='General Info &amp; Test Results'!$C$17),"Yes","No")))</f>
        <v/>
      </c>
      <c r="T53" s="176"/>
    </row>
    <row r="54" spans="1:20" ht="16" thickBot="1" x14ac:dyDescent="0.45">
      <c r="Q54" s="482"/>
      <c r="T54" s="176"/>
    </row>
    <row r="55" spans="1:20" ht="16" thickBot="1" x14ac:dyDescent="0.45">
      <c r="A55" s="134"/>
      <c r="B55" s="454" t="s">
        <v>160</v>
      </c>
      <c r="C55" s="455"/>
      <c r="D55" s="455"/>
      <c r="E55" s="455"/>
      <c r="F55" s="455"/>
      <c r="G55" s="747"/>
      <c r="H55" s="455"/>
      <c r="I55" s="455"/>
      <c r="J55" s="747"/>
      <c r="K55" s="747"/>
      <c r="L55" s="747"/>
      <c r="M55" s="747"/>
      <c r="N55" s="747"/>
      <c r="O55" s="747"/>
      <c r="P55" s="455"/>
      <c r="Q55" s="455"/>
      <c r="R55" s="456"/>
      <c r="T55" s="176"/>
    </row>
    <row r="56" spans="1:20" x14ac:dyDescent="0.4">
      <c r="A56" s="134"/>
      <c r="B56" s="1288"/>
      <c r="C56" s="1289"/>
      <c r="D56" s="1289"/>
      <c r="E56" s="1289"/>
      <c r="F56" s="1289"/>
      <c r="G56" s="1289"/>
      <c r="H56" s="1289"/>
      <c r="I56" s="1289"/>
      <c r="J56" s="1289"/>
      <c r="K56" s="1289"/>
      <c r="L56" s="1289"/>
      <c r="M56" s="1289"/>
      <c r="N56" s="1289"/>
      <c r="O56" s="1289"/>
      <c r="P56" s="1289"/>
      <c r="Q56" s="1289"/>
      <c r="R56" s="1290"/>
      <c r="T56" s="176"/>
    </row>
    <row r="57" spans="1:20" x14ac:dyDescent="0.4">
      <c r="A57" s="134"/>
      <c r="B57" s="1288"/>
      <c r="C57" s="1289"/>
      <c r="D57" s="1289"/>
      <c r="E57" s="1289"/>
      <c r="F57" s="1289"/>
      <c r="G57" s="1289"/>
      <c r="H57" s="1289"/>
      <c r="I57" s="1289"/>
      <c r="J57" s="1289"/>
      <c r="K57" s="1289"/>
      <c r="L57" s="1289"/>
      <c r="M57" s="1289"/>
      <c r="N57" s="1289"/>
      <c r="O57" s="1289"/>
      <c r="P57" s="1289"/>
      <c r="Q57" s="1289"/>
      <c r="R57" s="1290"/>
      <c r="T57" s="176"/>
    </row>
    <row r="58" spans="1:20" x14ac:dyDescent="0.4">
      <c r="A58" s="134"/>
      <c r="B58" s="1288"/>
      <c r="C58" s="1289"/>
      <c r="D58" s="1289"/>
      <c r="E58" s="1289"/>
      <c r="F58" s="1289"/>
      <c r="G58" s="1289"/>
      <c r="H58" s="1289"/>
      <c r="I58" s="1289"/>
      <c r="J58" s="1289"/>
      <c r="K58" s="1289"/>
      <c r="L58" s="1289"/>
      <c r="M58" s="1289"/>
      <c r="N58" s="1289"/>
      <c r="O58" s="1289"/>
      <c r="P58" s="1289"/>
      <c r="Q58" s="1289"/>
      <c r="R58" s="1290"/>
      <c r="T58" s="176"/>
    </row>
    <row r="59" spans="1:20" ht="16" thickBot="1" x14ac:dyDescent="0.45">
      <c r="A59" s="134"/>
      <c r="B59" s="1291"/>
      <c r="C59" s="1292"/>
      <c r="D59" s="1292"/>
      <c r="E59" s="1292"/>
      <c r="F59" s="1292"/>
      <c r="G59" s="1292"/>
      <c r="H59" s="1292"/>
      <c r="I59" s="1292"/>
      <c r="J59" s="1292"/>
      <c r="K59" s="1292"/>
      <c r="L59" s="1292"/>
      <c r="M59" s="1292"/>
      <c r="N59" s="1292"/>
      <c r="O59" s="1292"/>
      <c r="P59" s="1292"/>
      <c r="Q59" s="1292"/>
      <c r="R59" s="1293"/>
      <c r="T59" s="176"/>
    </row>
    <row r="60" spans="1:20" ht="16" thickBot="1" x14ac:dyDescent="0.45">
      <c r="A60" s="134"/>
      <c r="B60" s="134"/>
      <c r="C60" s="134"/>
      <c r="D60" s="134"/>
      <c r="E60" s="134"/>
      <c r="F60" s="134"/>
      <c r="G60" s="134"/>
      <c r="H60" s="134"/>
      <c r="I60" s="134"/>
      <c r="J60" s="134"/>
      <c r="K60" s="134"/>
      <c r="L60" s="134"/>
      <c r="M60" s="134"/>
      <c r="N60" s="134"/>
      <c r="O60" s="134"/>
      <c r="P60" s="134"/>
      <c r="Q60" s="162"/>
      <c r="T60" s="176"/>
    </row>
    <row r="61" spans="1:20" ht="16" thickBot="1" x14ac:dyDescent="0.45">
      <c r="A61" s="134"/>
      <c r="B61" s="454" t="s">
        <v>159</v>
      </c>
      <c r="C61" s="455"/>
      <c r="D61" s="455"/>
      <c r="E61" s="455"/>
      <c r="F61" s="455"/>
      <c r="G61" s="747"/>
      <c r="H61" s="455"/>
      <c r="I61" s="455"/>
      <c r="J61" s="747"/>
      <c r="K61" s="747"/>
      <c r="L61" s="747"/>
      <c r="M61" s="747"/>
      <c r="N61" s="747"/>
      <c r="O61" s="747"/>
      <c r="P61" s="455"/>
      <c r="Q61" s="455"/>
      <c r="R61" s="456"/>
      <c r="T61" s="176"/>
    </row>
    <row r="62" spans="1:20" x14ac:dyDescent="0.4">
      <c r="A62" s="134"/>
      <c r="B62" s="1288"/>
      <c r="C62" s="1289"/>
      <c r="D62" s="1289"/>
      <c r="E62" s="1289"/>
      <c r="F62" s="1289"/>
      <c r="G62" s="1289"/>
      <c r="H62" s="1289"/>
      <c r="I62" s="1289"/>
      <c r="J62" s="1289"/>
      <c r="K62" s="1289"/>
      <c r="L62" s="1289"/>
      <c r="M62" s="1289"/>
      <c r="N62" s="1289"/>
      <c r="O62" s="1289"/>
      <c r="P62" s="1289"/>
      <c r="Q62" s="1289"/>
      <c r="R62" s="1290"/>
      <c r="T62" s="176"/>
    </row>
    <row r="63" spans="1:20" x14ac:dyDescent="0.4">
      <c r="A63" s="134"/>
      <c r="B63" s="1288"/>
      <c r="C63" s="1289"/>
      <c r="D63" s="1289"/>
      <c r="E63" s="1289"/>
      <c r="F63" s="1289"/>
      <c r="G63" s="1289"/>
      <c r="H63" s="1289"/>
      <c r="I63" s="1289"/>
      <c r="J63" s="1289"/>
      <c r="K63" s="1289"/>
      <c r="L63" s="1289"/>
      <c r="M63" s="1289"/>
      <c r="N63" s="1289"/>
      <c r="O63" s="1289"/>
      <c r="P63" s="1289"/>
      <c r="Q63" s="1289"/>
      <c r="R63" s="1290"/>
      <c r="T63" s="176"/>
    </row>
    <row r="64" spans="1:20" x14ac:dyDescent="0.4">
      <c r="A64" s="134"/>
      <c r="B64" s="1288"/>
      <c r="C64" s="1289"/>
      <c r="D64" s="1289"/>
      <c r="E64" s="1289"/>
      <c r="F64" s="1289"/>
      <c r="G64" s="1289"/>
      <c r="H64" s="1289"/>
      <c r="I64" s="1289"/>
      <c r="J64" s="1289"/>
      <c r="K64" s="1289"/>
      <c r="L64" s="1289"/>
      <c r="M64" s="1289"/>
      <c r="N64" s="1289"/>
      <c r="O64" s="1289"/>
      <c r="P64" s="1289"/>
      <c r="Q64" s="1289"/>
      <c r="R64" s="1290"/>
      <c r="T64" s="176"/>
    </row>
    <row r="65" spans="1:20" x14ac:dyDescent="0.4">
      <c r="A65" s="134"/>
      <c r="B65" s="1288"/>
      <c r="C65" s="1289"/>
      <c r="D65" s="1289"/>
      <c r="E65" s="1289"/>
      <c r="F65" s="1289"/>
      <c r="G65" s="1289"/>
      <c r="H65" s="1289"/>
      <c r="I65" s="1289"/>
      <c r="J65" s="1289"/>
      <c r="K65" s="1289"/>
      <c r="L65" s="1289"/>
      <c r="M65" s="1289"/>
      <c r="N65" s="1289"/>
      <c r="O65" s="1289"/>
      <c r="P65" s="1289"/>
      <c r="Q65" s="1289"/>
      <c r="R65" s="1290"/>
      <c r="T65" s="176"/>
    </row>
    <row r="66" spans="1:20" ht="16" thickBot="1" x14ac:dyDescent="0.45">
      <c r="A66" s="134"/>
      <c r="B66" s="1291"/>
      <c r="C66" s="1292"/>
      <c r="D66" s="1292"/>
      <c r="E66" s="1292"/>
      <c r="F66" s="1292"/>
      <c r="G66" s="1292"/>
      <c r="H66" s="1292"/>
      <c r="I66" s="1292"/>
      <c r="J66" s="1292"/>
      <c r="K66" s="1292"/>
      <c r="L66" s="1292"/>
      <c r="M66" s="1292"/>
      <c r="N66" s="1292"/>
      <c r="O66" s="1292"/>
      <c r="P66" s="1292"/>
      <c r="Q66" s="1292"/>
      <c r="R66" s="1293"/>
      <c r="T66" s="176"/>
    </row>
    <row r="67" spans="1:20" x14ac:dyDescent="0.4">
      <c r="A67" s="134"/>
      <c r="B67" s="134"/>
      <c r="C67" s="134"/>
      <c r="D67" s="134"/>
      <c r="E67" s="134"/>
      <c r="F67" s="134"/>
      <c r="G67" s="134"/>
      <c r="H67" s="134"/>
      <c r="I67" s="134"/>
      <c r="J67" s="134"/>
      <c r="K67" s="134"/>
      <c r="L67" s="134"/>
      <c r="M67" s="134"/>
      <c r="N67" s="134"/>
      <c r="O67" s="134"/>
      <c r="P67" s="134"/>
      <c r="Q67" s="134"/>
      <c r="T67" s="176"/>
    </row>
    <row r="68" spans="1:20" x14ac:dyDescent="0.4">
      <c r="A68" s="176"/>
      <c r="B68" s="176"/>
      <c r="C68" s="176"/>
      <c r="D68" s="176"/>
      <c r="E68" s="176"/>
      <c r="F68" s="176"/>
      <c r="G68" s="176"/>
      <c r="H68" s="176"/>
      <c r="I68" s="176"/>
      <c r="J68" s="176"/>
      <c r="K68" s="176"/>
      <c r="L68" s="176"/>
      <c r="M68" s="176"/>
      <c r="N68" s="176"/>
      <c r="O68" s="176"/>
      <c r="P68" s="176"/>
      <c r="Q68" s="176"/>
      <c r="R68" s="176"/>
      <c r="S68" s="176"/>
      <c r="T68" s="176"/>
    </row>
  </sheetData>
  <sheetProtection algorithmName="SHA-512" hashValue="5XSctE2cGOIaA05eylOUCCoaVKB0saSiJDr5L1tNh6bJPX1gxjYRtf4LXX4ctrPQb49Ewoaz3UzlZ1uE5LFipg==" saltValue="kuCMFw+d27L4VthIrPk/uw==" spinCount="100000" sheet="1" selectLockedCells="1"/>
  <protectedRanges>
    <protectedRange sqref="B14:R53" name="Range1"/>
  </protectedRanges>
  <mergeCells count="15">
    <mergeCell ref="O12:O13"/>
    <mergeCell ref="B2:C2"/>
    <mergeCell ref="B62:R66"/>
    <mergeCell ref="B56:R59"/>
    <mergeCell ref="R12:R13"/>
    <mergeCell ref="Q12:Q13"/>
    <mergeCell ref="P12:P13"/>
    <mergeCell ref="B12:B13"/>
    <mergeCell ref="C12:C13"/>
    <mergeCell ref="D12:D13"/>
    <mergeCell ref="E12:E13"/>
    <mergeCell ref="F12:F13"/>
    <mergeCell ref="G13:H13"/>
    <mergeCell ref="G12:K12"/>
    <mergeCell ref="L12:N13"/>
  </mergeCells>
  <phoneticPr fontId="29" type="noConversion"/>
  <conditionalFormatting sqref="I14:I53">
    <cfRule type="expression" dxfId="3" priority="3">
      <formula>$B14="Other"</formula>
    </cfRule>
  </conditionalFormatting>
  <conditionalFormatting sqref="J14:J53">
    <cfRule type="expression" dxfId="2" priority="2">
      <formula>$B14&lt;&gt;"Other"</formula>
    </cfRule>
  </conditionalFormatting>
  <hyperlinks>
    <hyperlink ref="E4" location="Instructions!C33" display="Back to Instructions tab" xr:uid="{00000000-0004-0000-0500-000000000000}"/>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EBFDD20-CBC2-4DCE-8B2D-692240692262}">
          <x14:formula1>
            <xm:f>'Drop-Downs and Tables'!$B$246:$B$265</xm:f>
          </x14:formula1>
          <xm:sqref>B14:B53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70C0"/>
    <pageSetUpPr fitToPage="1"/>
  </sheetPr>
  <dimension ref="A1:X109"/>
  <sheetViews>
    <sheetView showGridLines="0" topLeftCell="A22" zoomScale="80" zoomScaleNormal="80" workbookViewId="0">
      <selection activeCell="E4" sqref="E4"/>
    </sheetView>
  </sheetViews>
  <sheetFormatPr defaultColWidth="9" defaultRowHeight="15.5" x14ac:dyDescent="0.4"/>
  <cols>
    <col min="1" max="1" width="3.6328125" style="134" customWidth="1"/>
    <col min="2" max="2" width="43.08984375" style="134" customWidth="1"/>
    <col min="3" max="4" width="30.08984375" style="134" customWidth="1"/>
    <col min="5" max="5" width="23" style="134" customWidth="1"/>
    <col min="6" max="7" width="12.36328125" style="134" customWidth="1"/>
    <col min="8" max="8" width="18.08984375" style="134" customWidth="1"/>
    <col min="9" max="16" width="12.36328125" style="134" customWidth="1"/>
    <col min="17" max="17" width="3.90625" style="134" customWidth="1"/>
    <col min="18" max="16384" width="9" style="134"/>
  </cols>
  <sheetData>
    <row r="1" spans="2:24" ht="16" thickBot="1" x14ac:dyDescent="0.45">
      <c r="Q1" s="158"/>
    </row>
    <row r="2" spans="2:24" ht="16" thickBot="1" x14ac:dyDescent="0.45">
      <c r="B2" s="1266" t="s">
        <v>236</v>
      </c>
      <c r="C2" s="1267"/>
      <c r="D2" s="239"/>
      <c r="E2" s="239"/>
      <c r="Q2" s="158"/>
    </row>
    <row r="3" spans="2:24" x14ac:dyDescent="0.4">
      <c r="B3" s="245" t="s">
        <v>237</v>
      </c>
      <c r="C3" s="230" t="str">
        <f>'Version Control'!C3</f>
        <v>Consumer Boiler</v>
      </c>
      <c r="D3" s="243"/>
      <c r="E3" s="243"/>
      <c r="Q3" s="158"/>
    </row>
    <row r="4" spans="2:24" ht="17" x14ac:dyDescent="0.4">
      <c r="B4" s="246" t="s">
        <v>119</v>
      </c>
      <c r="C4" s="232" t="str">
        <f>'Version Control'!C4</f>
        <v>v1.1</v>
      </c>
      <c r="D4" s="178"/>
      <c r="E4" s="76" t="s">
        <v>126</v>
      </c>
      <c r="Q4" s="158"/>
    </row>
    <row r="5" spans="2:24" x14ac:dyDescent="0.4">
      <c r="B5" s="246" t="s">
        <v>120</v>
      </c>
      <c r="C5" s="233">
        <f>'Version Control'!C5</f>
        <v>43721</v>
      </c>
      <c r="D5" s="178"/>
      <c r="E5" s="178"/>
      <c r="Q5" s="158"/>
    </row>
    <row r="6" spans="2:24" x14ac:dyDescent="0.4">
      <c r="B6" s="247" t="s">
        <v>118</v>
      </c>
      <c r="C6" s="235" t="str">
        <f ca="1">MID(CELL("filename",A1), FIND("]", CELL("filename", A1))+ 1, 255)</f>
        <v>Test Conditions</v>
      </c>
      <c r="D6" s="178"/>
      <c r="E6" s="178"/>
      <c r="Q6" s="158"/>
    </row>
    <row r="7" spans="2:24" x14ac:dyDescent="0.4">
      <c r="B7" s="236" t="s">
        <v>117</v>
      </c>
      <c r="C7" s="222" t="str">
        <f ca="1">'Version Control'!C7</f>
        <v>Consumer Boiler - v1.1.xlsx</v>
      </c>
      <c r="D7" s="178"/>
      <c r="E7" s="178"/>
      <c r="Q7" s="158"/>
    </row>
    <row r="8" spans="2:24" ht="16" thickBot="1" x14ac:dyDescent="0.45">
      <c r="B8" s="248" t="s">
        <v>121</v>
      </c>
      <c r="C8" s="238">
        <f>'Version Control'!C8</f>
        <v>0</v>
      </c>
      <c r="D8" s="162"/>
      <c r="E8" s="162"/>
      <c r="Q8" s="158"/>
    </row>
    <row r="9" spans="2:24" x14ac:dyDescent="0.4">
      <c r="B9" s="159"/>
      <c r="F9" s="133"/>
      <c r="G9" s="133"/>
      <c r="H9" s="133"/>
      <c r="I9" s="133"/>
      <c r="J9" s="133"/>
      <c r="K9" s="133"/>
      <c r="L9" s="133"/>
      <c r="M9" s="133"/>
      <c r="N9" s="133"/>
      <c r="O9" s="133"/>
      <c r="P9" s="133"/>
      <c r="Q9" s="160"/>
      <c r="R9" s="161"/>
      <c r="S9" s="161"/>
      <c r="T9" s="161"/>
    </row>
    <row r="10" spans="2:24" ht="16" thickBot="1" x14ac:dyDescent="0.45">
      <c r="B10" s="159"/>
      <c r="F10" s="133"/>
      <c r="G10" s="133"/>
      <c r="H10" s="133"/>
      <c r="I10" s="133"/>
      <c r="J10" s="133"/>
      <c r="K10" s="133"/>
      <c r="L10" s="133"/>
      <c r="M10" s="133"/>
      <c r="N10" s="133"/>
      <c r="O10" s="133"/>
      <c r="P10" s="133"/>
      <c r="Q10" s="160"/>
      <c r="R10" s="161"/>
      <c r="S10" s="161"/>
      <c r="T10" s="161"/>
    </row>
    <row r="11" spans="2:24" ht="16" thickBot="1" x14ac:dyDescent="0.45">
      <c r="B11" s="496" t="s">
        <v>580</v>
      </c>
      <c r="C11" s="497"/>
      <c r="D11" s="497"/>
      <c r="E11" s="497"/>
      <c r="F11" s="497"/>
      <c r="G11" s="497"/>
      <c r="H11" s="498"/>
      <c r="I11" s="133"/>
      <c r="J11" s="133"/>
      <c r="K11" s="133"/>
      <c r="L11" s="133"/>
      <c r="M11" s="133"/>
      <c r="N11" s="133"/>
      <c r="O11" s="133"/>
      <c r="P11" s="133"/>
      <c r="Q11" s="158"/>
    </row>
    <row r="12" spans="2:24" ht="100.5" customHeight="1" x14ac:dyDescent="0.4">
      <c r="B12" s="1337" t="s">
        <v>972</v>
      </c>
      <c r="C12" s="1338"/>
      <c r="D12" s="1338"/>
      <c r="E12" s="1338"/>
      <c r="F12" s="1338"/>
      <c r="G12" s="1338"/>
      <c r="H12" s="1339"/>
      <c r="I12" s="133"/>
      <c r="J12" s="133"/>
      <c r="K12" s="133"/>
      <c r="L12" s="133"/>
      <c r="M12" s="133"/>
      <c r="N12" s="133"/>
      <c r="O12" s="133"/>
      <c r="P12" s="133"/>
      <c r="Q12" s="158"/>
    </row>
    <row r="13" spans="2:24" x14ac:dyDescent="0.4">
      <c r="B13" s="1381" t="s">
        <v>52</v>
      </c>
      <c r="C13" s="1362"/>
      <c r="D13" s="1362" t="s">
        <v>943</v>
      </c>
      <c r="E13" s="1361" t="s">
        <v>892</v>
      </c>
      <c r="F13" s="1361"/>
      <c r="G13" s="1362" t="s">
        <v>35</v>
      </c>
      <c r="H13" s="1380" t="s">
        <v>891</v>
      </c>
      <c r="I13" s="133"/>
      <c r="J13" s="133"/>
      <c r="K13" s="133"/>
      <c r="L13" s="133"/>
      <c r="M13" s="133"/>
      <c r="N13" s="133"/>
      <c r="O13" s="133"/>
      <c r="P13" s="133"/>
      <c r="Q13" s="158"/>
    </row>
    <row r="14" spans="2:24" x14ac:dyDescent="0.4">
      <c r="B14" s="1381"/>
      <c r="C14" s="1362"/>
      <c r="D14" s="1362"/>
      <c r="E14" s="1019" t="s">
        <v>269</v>
      </c>
      <c r="F14" s="1019" t="s">
        <v>270</v>
      </c>
      <c r="G14" s="1362"/>
      <c r="H14" s="1380"/>
      <c r="I14" s="133"/>
      <c r="J14" s="133"/>
      <c r="K14" s="133"/>
      <c r="L14" s="133"/>
      <c r="M14" s="133"/>
      <c r="N14" s="133"/>
      <c r="O14" s="133"/>
      <c r="P14" s="133"/>
      <c r="Q14" s="158"/>
      <c r="R14" s="1084"/>
      <c r="S14" s="1084"/>
      <c r="T14" s="1084"/>
      <c r="U14" s="1018"/>
      <c r="V14" s="1018"/>
      <c r="W14" s="1084"/>
      <c r="X14" s="1085"/>
    </row>
    <row r="15" spans="2:24" x14ac:dyDescent="0.4">
      <c r="B15" s="1348" t="s">
        <v>976</v>
      </c>
      <c r="C15" s="1349"/>
      <c r="D15" s="102"/>
      <c r="E15" s="100" t="str">
        <f>IF('General Info &amp; Test Results'!$C$36&lt;&gt;"Gas","N/A",
INDEX('Drop-Downs and Tables'!$E$102:$E$105,MATCH('General Info &amp; Test Results'!$C$37,'Drop-Downs and Tables'!$B$102:$B$105,0)))</f>
        <v>N/A</v>
      </c>
      <c r="F15" s="1020" t="str">
        <f>IF('General Info &amp; Test Results'!$C$36&lt;&gt;"Gas","N/A",
INDEX('Drop-Downs and Tables'!$F$102:$F$105,MATCH('General Info &amp; Test Results'!$C$37,'Drop-Downs and Tables'!$B$102:$B$105,0)))</f>
        <v>N/A</v>
      </c>
      <c r="G15" s="1214" t="s">
        <v>977</v>
      </c>
      <c r="H15" s="1089" t="str">
        <f>IF('General Info &amp; Test Results'!$C$37="","Select Fuel Type",
IF('General Info &amp; Test Results'!$C$36&lt;&gt;"Gas","N/A",
IF(AND(D15&gt;=E15,D15&lt;=F15),"Yes","No")))</f>
        <v>Select Fuel Type</v>
      </c>
      <c r="I15" s="133"/>
      <c r="J15" s="133"/>
      <c r="K15" s="133"/>
      <c r="L15" s="133"/>
      <c r="M15" s="133"/>
      <c r="N15" s="133"/>
      <c r="O15" s="133"/>
      <c r="P15" s="133"/>
      <c r="Q15" s="158"/>
      <c r="R15" s="1084"/>
      <c r="S15" s="1084"/>
      <c r="T15" s="1084"/>
      <c r="U15" s="1018"/>
      <c r="V15" s="1018"/>
      <c r="W15" s="1084"/>
      <c r="X15" s="1085"/>
    </row>
    <row r="16" spans="2:24" x14ac:dyDescent="0.4">
      <c r="B16" s="1375" t="str">
        <f>"Test Pressure Range - Reduced Test" &amp; IF('General Info &amp; Test Results'!C51="No"," - NOT REQUIRED FOR THIS TEST","")</f>
        <v>Test Pressure Range - Reduced Test</v>
      </c>
      <c r="C16" s="1376"/>
      <c r="D16" s="192"/>
      <c r="E16" s="100" t="str">
        <f>IF(OR('General Info &amp; Test Results'!$C$36&lt;&gt;"Gas",Reduced_Test_Required="No"),"N/A",
INDEX('Drop-Downs and Tables'!$E$102:$E$105,MATCH('General Info &amp; Test Results'!$C$37,'Drop-Downs and Tables'!$B$102:$B$105,0)))</f>
        <v>N/A</v>
      </c>
      <c r="F16" s="1020" t="str">
        <f>IF(OR('General Info &amp; Test Results'!$C$36&lt;&gt;"Gas",Reduced_Test_Required="No"),"N/A",
INDEX('Drop-Downs and Tables'!$F$102:$F$105,MATCH('General Info &amp; Test Results'!$C$37,'Drop-Downs and Tables'!$B$102:$B$105,0)))</f>
        <v>N/A</v>
      </c>
      <c r="G16" s="1216" t="s">
        <v>977</v>
      </c>
      <c r="H16" s="1089" t="str">
        <f>IF('General Info &amp; Test Results'!$C$37="","Select Fuel Type",
IF(OR('General Info &amp; Test Results'!$C$36&lt;&gt;"Gas",Reduced_Test_Required="No"),"N/A",
IF(AND(D16&gt;=E16,D16&lt;=F16),"Yes","No")))</f>
        <v>Select Fuel Type</v>
      </c>
      <c r="I16" s="133"/>
      <c r="J16" s="133"/>
      <c r="K16" s="133"/>
      <c r="L16" s="133"/>
      <c r="M16" s="133"/>
      <c r="N16" s="133"/>
      <c r="O16" s="133"/>
      <c r="P16" s="133"/>
      <c r="Q16" s="158"/>
      <c r="R16" s="1084"/>
      <c r="S16" s="1084"/>
      <c r="T16" s="1084"/>
      <c r="U16" s="1018"/>
      <c r="V16" s="1018"/>
      <c r="W16" s="1084"/>
      <c r="X16" s="1085"/>
    </row>
    <row r="17" spans="2:17" ht="17.5" x14ac:dyDescent="0.4">
      <c r="B17" s="1371" t="s">
        <v>974</v>
      </c>
      <c r="C17" s="1372"/>
      <c r="D17" s="288"/>
      <c r="E17" s="1083" t="str">
        <f>IF('General Info &amp; Test Results'!$C$36&lt;&gt;"Gas","N/A",
INDEX('Drop-Downs and Tables'!$C$102:$C$105,MATCH('General Info &amp; Test Results'!$C$37,'Drop-Downs and Tables'!$B$102:$B$105,0))*0.95)</f>
        <v>N/A</v>
      </c>
      <c r="F17" s="1083" t="str">
        <f>IF('General Info &amp; Test Results'!$C$36&lt;&gt;"Gas","N/A",
INDEX('Drop-Downs and Tables'!$C$102:$C$105,MATCH('General Info &amp; Test Results'!$C$37,'Drop-Downs and Tables'!$B$102:$B$105,0))*1.05)</f>
        <v>N/A</v>
      </c>
      <c r="G17" s="1217" t="s">
        <v>973</v>
      </c>
      <c r="H17" s="1089" t="str">
        <f>IF('General Info &amp; Test Results'!$C$37="","Select Fuel Type",
IF('General Info &amp; Test Results'!$C$36&lt;&gt;"Gas","N/A",
IF(AND(D17&gt;=E17,D17&lt;=F17),"Yes","No")))</f>
        <v>Select Fuel Type</v>
      </c>
      <c r="I17" s="133"/>
      <c r="J17" s="133"/>
      <c r="K17" s="133"/>
      <c r="L17" s="133"/>
      <c r="M17" s="133"/>
      <c r="N17" s="133"/>
      <c r="O17" s="133"/>
      <c r="P17" s="133"/>
      <c r="Q17" s="158"/>
    </row>
    <row r="18" spans="2:17" ht="16" thickBot="1" x14ac:dyDescent="0.45">
      <c r="B18" s="1373" t="s">
        <v>975</v>
      </c>
      <c r="C18" s="1374"/>
      <c r="D18" s="121"/>
      <c r="E18" s="1092" t="str">
        <f>IF('General Info &amp; Test Results'!C36&lt;&gt;"Gas","N/A",
INDEX('Drop-Downs and Tables'!D102:D105,MATCH('General Info &amp; Test Results'!C37,'Drop-Downs and Tables'!B102:B105,0)))</f>
        <v>N/A</v>
      </c>
      <c r="F18" s="1093" t="s">
        <v>741</v>
      </c>
      <c r="G18" s="1215" t="s">
        <v>178</v>
      </c>
      <c r="H18" s="495" t="str">
        <f>IF('General Info &amp; Test Results'!C37="","Select Fuel Type",
IF('General Info &amp; Test Results'!C36&lt;&gt;"Gas","N/A",
"Yes"))</f>
        <v>Select Fuel Type</v>
      </c>
      <c r="I18" s="133"/>
      <c r="J18" s="133"/>
      <c r="K18" s="133"/>
      <c r="L18" s="133"/>
      <c r="M18" s="133"/>
      <c r="N18" s="133"/>
      <c r="O18" s="133"/>
      <c r="P18" s="133"/>
      <c r="Q18" s="158"/>
    </row>
    <row r="19" spans="2:17" ht="16" thickBot="1" x14ac:dyDescent="0.45">
      <c r="B19" s="476"/>
      <c r="C19" s="1086"/>
      <c r="D19" s="1087"/>
      <c r="E19" s="262"/>
      <c r="F19" s="506"/>
      <c r="G19" s="506"/>
      <c r="H19" s="1036"/>
      <c r="I19" s="133"/>
      <c r="J19" s="133"/>
      <c r="K19" s="133"/>
      <c r="L19" s="133"/>
      <c r="M19" s="133"/>
      <c r="N19" s="133"/>
      <c r="O19" s="133"/>
      <c r="P19" s="133"/>
      <c r="Q19" s="158"/>
    </row>
    <row r="20" spans="2:17" ht="122.25" customHeight="1" x14ac:dyDescent="0.4">
      <c r="B20" s="1340" t="s">
        <v>978</v>
      </c>
      <c r="C20" s="1341"/>
      <c r="D20" s="1341"/>
      <c r="E20" s="1341"/>
      <c r="F20" s="1341"/>
      <c r="G20" s="1341"/>
      <c r="H20" s="1342"/>
      <c r="I20" s="133"/>
      <c r="J20" s="133"/>
      <c r="K20" s="133"/>
      <c r="L20" s="133"/>
      <c r="M20" s="133"/>
      <c r="N20" s="133"/>
      <c r="O20" s="133"/>
      <c r="P20" s="133"/>
      <c r="Q20" s="158"/>
    </row>
    <row r="21" spans="2:17" ht="119.25" customHeight="1" x14ac:dyDescent="0.4">
      <c r="B21" s="1343" t="s">
        <v>979</v>
      </c>
      <c r="C21" s="1344"/>
      <c r="D21" s="1344"/>
      <c r="E21" s="1344"/>
      <c r="F21" s="1344"/>
      <c r="G21" s="1344"/>
      <c r="H21" s="1345"/>
      <c r="I21" s="133"/>
      <c r="J21" s="133"/>
      <c r="K21" s="133"/>
      <c r="L21" s="133"/>
      <c r="M21" s="133"/>
      <c r="N21" s="133"/>
      <c r="O21" s="133"/>
      <c r="P21" s="133"/>
      <c r="Q21" s="158"/>
    </row>
    <row r="22" spans="2:17" ht="104.25" customHeight="1" x14ac:dyDescent="0.4">
      <c r="B22" s="1343" t="s">
        <v>980</v>
      </c>
      <c r="C22" s="1346"/>
      <c r="D22" s="1346"/>
      <c r="E22" s="1346"/>
      <c r="F22" s="1346"/>
      <c r="G22" s="1346"/>
      <c r="H22" s="1347"/>
      <c r="I22" s="133"/>
      <c r="J22" s="133"/>
      <c r="K22" s="133"/>
      <c r="L22" s="133"/>
      <c r="M22" s="133"/>
      <c r="N22" s="133"/>
      <c r="O22" s="133"/>
      <c r="P22" s="133"/>
      <c r="Q22" s="158"/>
    </row>
    <row r="23" spans="2:17" x14ac:dyDescent="0.4">
      <c r="B23" s="476"/>
      <c r="C23" s="1086"/>
      <c r="D23" s="1087"/>
      <c r="E23" s="262"/>
      <c r="F23" s="506"/>
      <c r="G23" s="506"/>
      <c r="H23" s="1036"/>
      <c r="I23" s="133"/>
      <c r="J23" s="133"/>
      <c r="K23" s="133"/>
      <c r="L23" s="133"/>
      <c r="M23" s="133"/>
      <c r="N23" s="133"/>
      <c r="O23" s="133"/>
      <c r="P23" s="133"/>
      <c r="Q23" s="158"/>
    </row>
    <row r="24" spans="2:17" x14ac:dyDescent="0.4">
      <c r="B24" s="1090"/>
      <c r="C24" s="1088" t="s">
        <v>161</v>
      </c>
      <c r="D24" s="1088" t="s">
        <v>128</v>
      </c>
      <c r="E24" s="262"/>
      <c r="F24" s="506"/>
      <c r="G24" s="506"/>
      <c r="H24" s="1036"/>
      <c r="I24" s="133"/>
      <c r="J24" s="133"/>
      <c r="K24" s="133"/>
      <c r="L24" s="133"/>
      <c r="M24" s="133"/>
      <c r="N24" s="133"/>
      <c r="O24" s="133"/>
      <c r="P24" s="133"/>
      <c r="Q24" s="158"/>
    </row>
    <row r="25" spans="2:17" x14ac:dyDescent="0.4">
      <c r="B25" s="260" t="s">
        <v>176</v>
      </c>
      <c r="C25" s="100" t="str">
        <f>IF('General Info &amp; Test Results'!C29="","",'General Info &amp; Test Results'!C29)</f>
        <v/>
      </c>
      <c r="D25" s="122" t="str">
        <f>IF('General Info &amp; Test Results'!C30="","",'General Info &amp; Test Results'!C30)</f>
        <v/>
      </c>
      <c r="E25" s="262"/>
      <c r="F25" s="506"/>
      <c r="G25" s="506"/>
      <c r="H25" s="1036"/>
      <c r="I25" s="133"/>
      <c r="J25" s="133"/>
      <c r="K25" s="133"/>
      <c r="L25" s="133"/>
      <c r="M25" s="133"/>
      <c r="N25" s="133"/>
      <c r="O25" s="133"/>
      <c r="P25" s="133"/>
      <c r="Q25" s="158"/>
    </row>
    <row r="26" spans="2:17" x14ac:dyDescent="0.4">
      <c r="B26" s="260" t="s">
        <v>177</v>
      </c>
      <c r="C26" s="102"/>
      <c r="D26" s="111"/>
      <c r="E26" s="262"/>
      <c r="F26" s="506"/>
      <c r="G26" s="506"/>
      <c r="H26" s="1036"/>
      <c r="I26" s="133"/>
      <c r="J26" s="133"/>
      <c r="K26" s="133"/>
      <c r="L26" s="133"/>
      <c r="M26" s="133"/>
      <c r="N26" s="133"/>
      <c r="O26" s="133"/>
      <c r="P26" s="133"/>
      <c r="Q26" s="158"/>
    </row>
    <row r="27" spans="2:17" x14ac:dyDescent="0.4">
      <c r="B27" s="260" t="s">
        <v>86</v>
      </c>
      <c r="C27" s="499" t="str">
        <f>IF(C26="","",IF(ABS(C25-C26)/C25&lt;=0.02,"Yes","No"))</f>
        <v/>
      </c>
      <c r="D27" s="499" t="str">
        <f>IF(D26="","",IF(ABS(D25-D26)/D25&lt;=0.02,"Yes","No"))</f>
        <v/>
      </c>
      <c r="E27" s="262"/>
      <c r="F27" s="506"/>
      <c r="G27" s="506"/>
      <c r="H27" s="1036"/>
      <c r="I27" s="133"/>
      <c r="J27" s="133"/>
      <c r="K27" s="133"/>
      <c r="L27" s="133"/>
      <c r="M27" s="133"/>
      <c r="N27" s="133"/>
      <c r="O27" s="133"/>
      <c r="P27" s="133"/>
      <c r="Q27" s="158"/>
    </row>
    <row r="28" spans="2:17" x14ac:dyDescent="0.4">
      <c r="B28" s="260" t="str">
        <f>IF(ISERROR(FIND("Oil",'General Info &amp; Test Results'!C37)),"Not Used","Manufacturer Recommended CO2 Reading")</f>
        <v>Not Used</v>
      </c>
      <c r="C28" s="501" t="str">
        <f>IF('General Info &amp; Test Results'!C31="","",'General Info &amp; Test Results'!C31)</f>
        <v/>
      </c>
      <c r="D28" s="984" t="str">
        <f>IF('General Info &amp; Test Results'!C31="","",'General Info &amp; Test Results'!C31)</f>
        <v/>
      </c>
      <c r="E28" s="262"/>
      <c r="F28" s="506"/>
      <c r="G28" s="506"/>
      <c r="H28" s="1036"/>
      <c r="I28" s="133"/>
      <c r="J28" s="133"/>
      <c r="K28" s="133"/>
      <c r="L28" s="133"/>
      <c r="M28" s="133"/>
      <c r="N28" s="133"/>
      <c r="O28" s="133"/>
      <c r="P28" s="133"/>
      <c r="Q28" s="158"/>
    </row>
    <row r="29" spans="2:17" x14ac:dyDescent="0.4">
      <c r="B29" s="260" t="str">
        <f>IF(B28="Not Used","Not Used","Tested CO2 Reading")</f>
        <v>Not Used</v>
      </c>
      <c r="C29" s="102"/>
      <c r="D29" s="111"/>
      <c r="E29" s="262"/>
      <c r="F29" s="506"/>
      <c r="G29" s="506"/>
      <c r="H29" s="1036"/>
      <c r="I29" s="133"/>
      <c r="J29" s="133"/>
      <c r="K29" s="133"/>
      <c r="L29" s="133"/>
      <c r="M29" s="133"/>
      <c r="N29" s="133"/>
      <c r="O29" s="133"/>
      <c r="P29" s="133"/>
      <c r="Q29" s="158"/>
    </row>
    <row r="30" spans="2:17" ht="16" thickBot="1" x14ac:dyDescent="0.45">
      <c r="B30" s="275" t="str">
        <f>IF(B28="Not Used","Not Used","Smoke in flue does not exceed No. 1 Smoke?")</f>
        <v>Not Used</v>
      </c>
      <c r="C30" s="502"/>
      <c r="D30" s="502"/>
      <c r="E30" s="1091"/>
      <c r="F30" s="1050"/>
      <c r="G30" s="1050"/>
      <c r="H30" s="1051"/>
      <c r="I30" s="133"/>
      <c r="J30" s="133"/>
      <c r="K30" s="133"/>
      <c r="L30" s="133"/>
      <c r="M30" s="133"/>
      <c r="N30" s="133"/>
      <c r="O30" s="133"/>
      <c r="P30" s="133"/>
      <c r="Q30" s="158"/>
    </row>
    <row r="31" spans="2:17" x14ac:dyDescent="0.4">
      <c r="B31" s="262"/>
      <c r="C31" s="263"/>
      <c r="D31" s="264"/>
      <c r="E31" s="262"/>
      <c r="F31" s="133"/>
      <c r="G31" s="133"/>
      <c r="H31" s="133"/>
      <c r="I31" s="133"/>
      <c r="J31" s="133"/>
      <c r="K31" s="133"/>
      <c r="L31" s="133"/>
      <c r="M31" s="133"/>
      <c r="N31" s="133"/>
      <c r="O31" s="133"/>
      <c r="P31" s="133"/>
      <c r="Q31" s="158"/>
    </row>
    <row r="32" spans="2:17" ht="16" thickBot="1" x14ac:dyDescent="0.45">
      <c r="B32" s="262"/>
      <c r="C32" s="263"/>
      <c r="D32" s="264"/>
      <c r="E32" s="262"/>
      <c r="F32" s="133"/>
      <c r="G32" s="133"/>
      <c r="H32" s="133"/>
      <c r="I32" s="133"/>
      <c r="J32" s="133"/>
      <c r="K32" s="133"/>
      <c r="L32" s="133"/>
      <c r="M32" s="133"/>
      <c r="N32" s="133"/>
      <c r="O32" s="133"/>
      <c r="P32" s="133"/>
      <c r="Q32" s="158"/>
    </row>
    <row r="33" spans="2:19" ht="16" thickBot="1" x14ac:dyDescent="0.45">
      <c r="B33" s="265" t="s">
        <v>581</v>
      </c>
      <c r="C33" s="267"/>
      <c r="D33" s="267"/>
      <c r="E33" s="267"/>
      <c r="F33" s="267"/>
      <c r="G33" s="267"/>
      <c r="H33" s="266"/>
      <c r="I33" s="133"/>
      <c r="J33" s="133"/>
      <c r="K33" s="133"/>
      <c r="L33" s="133"/>
      <c r="M33" s="133"/>
      <c r="N33" s="133"/>
      <c r="O33" s="133"/>
      <c r="P33" s="133"/>
      <c r="Q33" s="158"/>
    </row>
    <row r="34" spans="2:19" ht="54" customHeight="1" x14ac:dyDescent="0.4">
      <c r="B34" s="1377" t="s">
        <v>1142</v>
      </c>
      <c r="C34" s="1378"/>
      <c r="D34" s="1378"/>
      <c r="E34" s="1378"/>
      <c r="F34" s="1378"/>
      <c r="G34" s="1378"/>
      <c r="H34" s="1379"/>
      <c r="I34" s="133"/>
      <c r="J34" s="133"/>
      <c r="K34" s="133"/>
      <c r="L34" s="133"/>
      <c r="M34" s="133"/>
      <c r="N34" s="133"/>
      <c r="O34" s="133"/>
      <c r="P34" s="133"/>
      <c r="Q34" s="158"/>
    </row>
    <row r="35" spans="2:19" x14ac:dyDescent="0.4">
      <c r="B35" s="584"/>
      <c r="C35" s="585"/>
      <c r="D35" s="261" t="s">
        <v>34</v>
      </c>
      <c r="E35" s="1105" t="s">
        <v>138</v>
      </c>
      <c r="F35" s="506"/>
      <c r="G35" s="506"/>
      <c r="H35" s="1036"/>
      <c r="I35" s="133"/>
      <c r="J35" s="133"/>
      <c r="K35" s="133"/>
      <c r="L35" s="133"/>
      <c r="M35" s="133"/>
      <c r="N35" s="133"/>
      <c r="O35" s="133"/>
      <c r="P35" s="133"/>
      <c r="Q35" s="158"/>
    </row>
    <row r="36" spans="2:19" x14ac:dyDescent="0.4">
      <c r="B36" s="1369" t="s">
        <v>608</v>
      </c>
      <c r="C36" s="1370"/>
      <c r="D36" s="101" t="str">
        <f>IF('General Info &amp; Test Results'!C28="","",'General Info &amp; Test Results'!C28)</f>
        <v/>
      </c>
      <c r="E36" s="1104" t="s">
        <v>607</v>
      </c>
      <c r="F36" s="506"/>
      <c r="G36" s="506"/>
      <c r="H36" s="1036"/>
      <c r="I36" s="133"/>
      <c r="J36" s="133"/>
      <c r="K36" s="133"/>
      <c r="L36" s="133"/>
      <c r="M36" s="133"/>
      <c r="N36" s="133"/>
      <c r="O36" s="133"/>
      <c r="P36" s="133"/>
      <c r="Q36" s="158"/>
    </row>
    <row r="37" spans="2:19" x14ac:dyDescent="0.4">
      <c r="B37" s="1367" t="s">
        <v>609</v>
      </c>
      <c r="C37" s="1368"/>
      <c r="D37" s="103"/>
      <c r="E37" s="1104" t="s">
        <v>607</v>
      </c>
      <c r="F37" s="506"/>
      <c r="G37" s="506"/>
      <c r="H37" s="1036"/>
      <c r="I37" s="133"/>
      <c r="J37" s="133"/>
      <c r="K37" s="133"/>
      <c r="L37" s="133"/>
      <c r="M37" s="133"/>
      <c r="N37" s="133"/>
      <c r="O37" s="133"/>
      <c r="P37" s="133"/>
      <c r="Q37" s="158"/>
    </row>
    <row r="38" spans="2:19" x14ac:dyDescent="0.4">
      <c r="B38" s="1365" t="s">
        <v>610</v>
      </c>
      <c r="C38" s="1366"/>
      <c r="D38" s="103"/>
      <c r="E38" s="1104" t="s">
        <v>607</v>
      </c>
      <c r="F38" s="506"/>
      <c r="G38" s="506"/>
      <c r="H38" s="1036"/>
      <c r="I38" s="133"/>
      <c r="J38" s="133"/>
      <c r="K38" s="133"/>
      <c r="L38" s="133"/>
      <c r="M38" s="133"/>
      <c r="N38" s="133"/>
      <c r="O38" s="133"/>
      <c r="P38" s="133"/>
      <c r="Q38" s="158"/>
    </row>
    <row r="39" spans="2:19" ht="16" thickBot="1" x14ac:dyDescent="0.45">
      <c r="B39" s="1363" t="s">
        <v>86</v>
      </c>
      <c r="C39" s="1364"/>
      <c r="D39" s="495" t="str">
        <f>IF(OR(D37="",D38=""),"",IF(AND(ABS(D36-D37)/D36&lt;=0.01,ABS(D36-D38)/D36&lt;=0.01),"Yes","No"))</f>
        <v/>
      </c>
      <c r="E39" s="1073" t="s">
        <v>178</v>
      </c>
      <c r="F39" s="1050"/>
      <c r="G39" s="1050"/>
      <c r="H39" s="1051"/>
      <c r="I39" s="133"/>
      <c r="J39" s="133"/>
      <c r="K39" s="133"/>
      <c r="L39" s="133"/>
      <c r="M39" s="133"/>
      <c r="N39" s="133"/>
      <c r="O39" s="133"/>
      <c r="P39" s="133"/>
      <c r="Q39" s="158"/>
    </row>
    <row r="40" spans="2:19" x14ac:dyDescent="0.4">
      <c r="B40" s="262"/>
      <c r="C40" s="449"/>
      <c r="D40" s="264"/>
      <c r="E40" s="262"/>
      <c r="F40" s="133"/>
      <c r="G40" s="133"/>
      <c r="H40" s="133"/>
      <c r="I40" s="133"/>
      <c r="J40" s="133"/>
      <c r="K40" s="133"/>
      <c r="L40" s="133"/>
      <c r="M40" s="133"/>
      <c r="N40" s="133"/>
      <c r="O40" s="133"/>
      <c r="P40" s="133"/>
      <c r="Q40" s="158"/>
    </row>
    <row r="41" spans="2:19" s="133" customFormat="1" ht="16" thickBot="1" x14ac:dyDescent="0.45">
      <c r="B41" s="262"/>
      <c r="C41" s="263"/>
      <c r="D41" s="263"/>
      <c r="E41" s="263"/>
      <c r="Q41" s="158"/>
    </row>
    <row r="42" spans="2:19" s="133" customFormat="1" ht="16" thickBot="1" x14ac:dyDescent="0.45">
      <c r="B42" s="265" t="s">
        <v>582</v>
      </c>
      <c r="C42" s="267"/>
      <c r="D42" s="267"/>
      <c r="E42" s="267"/>
      <c r="F42" s="267"/>
      <c r="G42" s="267"/>
      <c r="H42" s="266"/>
      <c r="Q42" s="158"/>
    </row>
    <row r="43" spans="2:19" s="133" customFormat="1" ht="55.5" customHeight="1" x14ac:dyDescent="0.4">
      <c r="B43" s="1302" t="s">
        <v>1141</v>
      </c>
      <c r="C43" s="1303"/>
      <c r="D43" s="1303"/>
      <c r="E43" s="1303"/>
      <c r="F43" s="1303"/>
      <c r="G43" s="1303"/>
      <c r="H43" s="1304"/>
      <c r="Q43" s="158"/>
      <c r="S43" s="506"/>
    </row>
    <row r="44" spans="2:19" s="133" customFormat="1" x14ac:dyDescent="0.4">
      <c r="B44" s="1107" t="s">
        <v>52</v>
      </c>
      <c r="C44" s="1088" t="s">
        <v>161</v>
      </c>
      <c r="D44" s="1108" t="s">
        <v>35</v>
      </c>
      <c r="E44" s="1108" t="s">
        <v>33</v>
      </c>
      <c r="F44" s="506"/>
      <c r="G44" s="506"/>
      <c r="H44" s="1036"/>
      <c r="Q44" s="158"/>
    </row>
    <row r="45" spans="2:19" s="133" customFormat="1" x14ac:dyDescent="0.4">
      <c r="B45" s="260" t="s">
        <v>222</v>
      </c>
      <c r="C45" s="192"/>
      <c r="D45" s="273" t="s">
        <v>178</v>
      </c>
      <c r="E45" s="975" t="s">
        <v>178</v>
      </c>
      <c r="F45" s="506"/>
      <c r="G45" s="506"/>
      <c r="H45" s="1036"/>
      <c r="Q45" s="158"/>
    </row>
    <row r="46" spans="2:19" s="133" customFormat="1" ht="16.5" x14ac:dyDescent="0.4">
      <c r="B46" s="274" t="s">
        <v>1140</v>
      </c>
      <c r="C46" s="1204" t="str">
        <f>IF(OR('Jacket Loss'!$D$42="",'Jacket Loss'!$D$42=0),"",'Jacket Loss'!$D$42)</f>
        <v/>
      </c>
      <c r="D46" s="273" t="s">
        <v>218</v>
      </c>
      <c r="E46" s="975" t="s">
        <v>512</v>
      </c>
      <c r="F46" s="506"/>
      <c r="G46" s="506"/>
      <c r="H46" s="1036"/>
      <c r="Q46" s="158"/>
    </row>
    <row r="47" spans="2:19" s="133" customFormat="1" ht="17" thickBot="1" x14ac:dyDescent="0.45">
      <c r="B47" s="275" t="s">
        <v>219</v>
      </c>
      <c r="C47" s="1208" t="str">
        <f>IF(C45="Default Value",1,IF(C45="Optional Test",C46,""))</f>
        <v/>
      </c>
      <c r="D47" s="1209" t="s">
        <v>218</v>
      </c>
      <c r="E47" s="1210" t="s">
        <v>606</v>
      </c>
      <c r="F47" s="1050"/>
      <c r="G47" s="1050"/>
      <c r="H47" s="1051"/>
      <c r="Q47" s="158"/>
    </row>
    <row r="48" spans="2:19" customFormat="1" x14ac:dyDescent="0.4">
      <c r="B48" s="268"/>
      <c r="C48" s="268"/>
      <c r="D48" s="268"/>
      <c r="E48" s="268"/>
      <c r="Q48" s="158"/>
    </row>
    <row r="49" spans="2:17" customFormat="1" ht="16" thickBot="1" x14ac:dyDescent="0.45">
      <c r="B49" s="268"/>
      <c r="C49" s="268"/>
      <c r="D49" s="268"/>
      <c r="E49" s="268"/>
      <c r="Q49" s="158"/>
    </row>
    <row r="50" spans="2:17" customFormat="1" ht="16" thickBot="1" x14ac:dyDescent="0.45">
      <c r="B50" s="265" t="s">
        <v>583</v>
      </c>
      <c r="C50" s="267"/>
      <c r="D50" s="267"/>
      <c r="E50" s="267"/>
      <c r="F50" s="267"/>
      <c r="G50" s="267"/>
      <c r="H50" s="266"/>
      <c r="Q50" s="158"/>
    </row>
    <row r="51" spans="2:17" customFormat="1" ht="16" thickBot="1" x14ac:dyDescent="0.45">
      <c r="B51" s="1080"/>
      <c r="C51" s="1079"/>
      <c r="D51" s="1079"/>
      <c r="E51" s="1079"/>
      <c r="F51" s="542"/>
      <c r="G51" s="542"/>
      <c r="H51" s="1094"/>
      <c r="Q51" s="158"/>
    </row>
    <row r="52" spans="2:17" customFormat="1" x14ac:dyDescent="0.4">
      <c r="B52" s="1328" t="s">
        <v>988</v>
      </c>
      <c r="C52" s="1329"/>
      <c r="D52" s="1329"/>
      <c r="E52" s="1329"/>
      <c r="F52" s="1329"/>
      <c r="G52" s="1329"/>
      <c r="H52" s="1330"/>
      <c r="Q52" s="158"/>
    </row>
    <row r="53" spans="2:17" customFormat="1" ht="33.75" customHeight="1" x14ac:dyDescent="0.4">
      <c r="B53" s="1325" t="s">
        <v>989</v>
      </c>
      <c r="C53" s="1326"/>
      <c r="D53" s="1326"/>
      <c r="E53" s="1326"/>
      <c r="F53" s="1326"/>
      <c r="G53" s="1326"/>
      <c r="H53" s="1327"/>
      <c r="Q53" s="158"/>
    </row>
    <row r="54" spans="2:17" customFormat="1" ht="225.75" customHeight="1" x14ac:dyDescent="0.4">
      <c r="B54" s="1325" t="s">
        <v>995</v>
      </c>
      <c r="C54" s="1326"/>
      <c r="D54" s="1326"/>
      <c r="E54" s="1326"/>
      <c r="F54" s="1326"/>
      <c r="G54" s="1326"/>
      <c r="H54" s="1327"/>
      <c r="Q54" s="158"/>
    </row>
    <row r="55" spans="2:17" customFormat="1" ht="37.5" customHeight="1" thickBot="1" x14ac:dyDescent="0.45">
      <c r="B55" s="1308" t="s">
        <v>990</v>
      </c>
      <c r="C55" s="1309"/>
      <c r="D55" s="1309"/>
      <c r="E55" s="1309"/>
      <c r="F55" s="1309"/>
      <c r="G55" s="1309"/>
      <c r="H55" s="1310"/>
      <c r="Q55" s="158"/>
    </row>
    <row r="56" spans="2:17" customFormat="1" ht="16" thickBot="1" x14ac:dyDescent="0.45">
      <c r="B56" s="1080"/>
      <c r="C56" s="1079"/>
      <c r="D56" s="1079"/>
      <c r="E56" s="1079"/>
      <c r="F56" s="542"/>
      <c r="G56" s="542"/>
      <c r="H56" s="1094"/>
      <c r="Q56" s="158"/>
    </row>
    <row r="57" spans="2:17" customFormat="1" ht="51.75" customHeight="1" x14ac:dyDescent="0.4">
      <c r="B57" s="1328" t="s">
        <v>982</v>
      </c>
      <c r="C57" s="1329"/>
      <c r="D57" s="1329"/>
      <c r="E57" s="1329"/>
      <c r="F57" s="1329"/>
      <c r="G57" s="1329"/>
      <c r="H57" s="1330"/>
      <c r="Q57" s="158"/>
    </row>
    <row r="58" spans="2:17" customFormat="1" ht="52.5" customHeight="1" x14ac:dyDescent="0.4">
      <c r="B58" s="1325" t="s">
        <v>981</v>
      </c>
      <c r="C58" s="1326"/>
      <c r="D58" s="1326"/>
      <c r="E58" s="1326"/>
      <c r="F58" s="1326"/>
      <c r="G58" s="1326"/>
      <c r="H58" s="1327"/>
      <c r="Q58" s="158"/>
    </row>
    <row r="59" spans="2:17" customFormat="1" ht="50.25" customHeight="1" x14ac:dyDescent="0.4">
      <c r="B59" s="1325" t="s">
        <v>983</v>
      </c>
      <c r="C59" s="1326"/>
      <c r="D59" s="1326"/>
      <c r="E59" s="1326"/>
      <c r="F59" s="1326"/>
      <c r="G59" s="1326"/>
      <c r="H59" s="1327"/>
      <c r="Q59" s="158"/>
    </row>
    <row r="60" spans="2:17" customFormat="1" ht="51.75" customHeight="1" x14ac:dyDescent="0.4">
      <c r="B60" s="1325" t="s">
        <v>984</v>
      </c>
      <c r="C60" s="1326"/>
      <c r="D60" s="1326"/>
      <c r="E60" s="1326"/>
      <c r="F60" s="1326"/>
      <c r="G60" s="1326"/>
      <c r="H60" s="1327"/>
      <c r="Q60" s="158"/>
    </row>
    <row r="61" spans="2:17" customFormat="1" ht="84.75" customHeight="1" x14ac:dyDescent="0.4">
      <c r="B61" s="1325" t="s">
        <v>985</v>
      </c>
      <c r="C61" s="1326"/>
      <c r="D61" s="1326"/>
      <c r="E61" s="1326"/>
      <c r="F61" s="1326"/>
      <c r="G61" s="1326"/>
      <c r="H61" s="1327"/>
      <c r="Q61" s="158"/>
    </row>
    <row r="62" spans="2:17" customFormat="1" ht="35.25" customHeight="1" x14ac:dyDescent="0.4">
      <c r="B62" s="1325" t="s">
        <v>986</v>
      </c>
      <c r="C62" s="1326"/>
      <c r="D62" s="1326"/>
      <c r="E62" s="1326"/>
      <c r="F62" s="1326"/>
      <c r="G62" s="1326"/>
      <c r="H62" s="1327"/>
      <c r="Q62" s="158"/>
    </row>
    <row r="63" spans="2:17" customFormat="1" ht="119.25" customHeight="1" thickBot="1" x14ac:dyDescent="0.45">
      <c r="B63" s="1308" t="s">
        <v>987</v>
      </c>
      <c r="C63" s="1309"/>
      <c r="D63" s="1309"/>
      <c r="E63" s="1309"/>
      <c r="F63" s="1309"/>
      <c r="G63" s="1309"/>
      <c r="H63" s="1310"/>
      <c r="Q63" s="158"/>
    </row>
    <row r="64" spans="2:17" customFormat="1" ht="16" thickBot="1" x14ac:dyDescent="0.45">
      <c r="B64" s="1080"/>
      <c r="C64" s="1079"/>
      <c r="D64" s="1079"/>
      <c r="E64" s="1079"/>
      <c r="F64" s="542"/>
      <c r="G64" s="542"/>
      <c r="H64" s="1094"/>
      <c r="Q64" s="158"/>
    </row>
    <row r="65" spans="2:17" customFormat="1" ht="35.25" customHeight="1" x14ac:dyDescent="0.4">
      <c r="B65" s="1311" t="s">
        <v>991</v>
      </c>
      <c r="C65" s="1312"/>
      <c r="D65" s="1101"/>
      <c r="E65" s="1313" t="str">
        <f>IF(D65="","Fill Drop-Down",
IF(AND(D65="No",D67="Yes"),"This should be Yes. Airflow was observed during the procedure from Appendix N, Section 7.10.1",
IF(D65="No","Procedure from Appendix N, Section 7.10.1 must be used.","Move to the next Drop-Down, D_P is calculated.")))</f>
        <v>Fill Drop-Down</v>
      </c>
      <c r="F65" s="1313"/>
      <c r="G65" s="1313"/>
      <c r="H65" s="1314"/>
      <c r="Q65" s="158"/>
    </row>
    <row r="66" spans="2:17" customFormat="1" ht="51.75" customHeight="1" x14ac:dyDescent="0.4">
      <c r="B66" s="1357" t="s">
        <v>994</v>
      </c>
      <c r="C66" s="1358"/>
      <c r="D66" s="111"/>
      <c r="E66" s="1315" t="str">
        <f>IF(AND(D65="No",D67&lt;&gt;"Yes"),"N/A",
IF(D66="","Fill Drop-Down",
IF(D66="No","Constants from Table 6 are used","Calculations based on ASHRAE 103-1993, Section 8.8.2 are used, D_F=D_P")))</f>
        <v>Fill Drop-Down</v>
      </c>
      <c r="F66" s="1315"/>
      <c r="G66" s="1315"/>
      <c r="H66" s="1316"/>
      <c r="Q66" s="158"/>
    </row>
    <row r="67" spans="2:17" customFormat="1" ht="34.5" customHeight="1" x14ac:dyDescent="0.4">
      <c r="B67" s="1359" t="s">
        <v>992</v>
      </c>
      <c r="C67" s="1360"/>
      <c r="D67" s="111"/>
      <c r="E67" s="1317" t="str">
        <f>IF(D65="Yes","N/A",
IF(D67="","Fill Drop-Down",
IF(D67="No","Minimum draft factors can be used","Procedures from ASHRAE 103-1993, Sections 8.8.2 and 8.8.3 must be used")))</f>
        <v>Fill Drop-Down</v>
      </c>
      <c r="F67" s="1317"/>
      <c r="G67" s="1317"/>
      <c r="H67" s="1318"/>
      <c r="Q67" s="158"/>
    </row>
    <row r="68" spans="2:17" customFormat="1" x14ac:dyDescent="0.4">
      <c r="B68" s="1080"/>
      <c r="C68" s="1079"/>
      <c r="D68" s="1079"/>
      <c r="E68" s="1079"/>
      <c r="F68" s="542"/>
      <c r="G68" s="542"/>
      <c r="H68" s="1094"/>
      <c r="Q68" s="158"/>
    </row>
    <row r="69" spans="2:17" customFormat="1" x14ac:dyDescent="0.4">
      <c r="B69" s="1322" t="s">
        <v>52</v>
      </c>
      <c r="C69" s="1323"/>
      <c r="D69" s="1321" t="s">
        <v>34</v>
      </c>
      <c r="E69" s="1321"/>
      <c r="F69" s="1324" t="s">
        <v>33</v>
      </c>
      <c r="G69" s="542"/>
      <c r="H69" s="1094"/>
      <c r="Q69" s="158"/>
    </row>
    <row r="70" spans="2:17" customFormat="1" x14ac:dyDescent="0.4">
      <c r="B70" s="1322"/>
      <c r="C70" s="1323"/>
      <c r="D70" s="1088" t="s">
        <v>161</v>
      </c>
      <c r="E70" s="1088" t="s">
        <v>128</v>
      </c>
      <c r="F70" s="1324"/>
      <c r="G70" s="542"/>
      <c r="H70" s="1094"/>
      <c r="Q70" s="158"/>
    </row>
    <row r="71" spans="2:17" customFormat="1" ht="16.5" x14ac:dyDescent="0.4">
      <c r="B71" s="1353" t="s">
        <v>227</v>
      </c>
      <c r="C71" s="1354"/>
      <c r="D71" s="1098" t="e">
        <f ca="1">OFFSET(Calculations!$D$93,0,MATCH(Calculations!$D$14,Calculations!$E$14:$K$14,0))</f>
        <v>#N/A</v>
      </c>
      <c r="E71" s="1098" t="e">
        <f ca="1">IF(Reduced_Test_Required="No","N/A",OFFSET(Calculations!$D$93,0,MATCH(Calculations!$D$14,Calculations!$E$14:$K$14,0)+1))</f>
        <v>#N/A</v>
      </c>
      <c r="F71" s="578" t="s">
        <v>605</v>
      </c>
      <c r="G71" s="542"/>
      <c r="H71" s="1094"/>
      <c r="Q71" s="158"/>
    </row>
    <row r="72" spans="2:17" customFormat="1" ht="16.5" x14ac:dyDescent="0.4">
      <c r="B72" s="1319" t="s">
        <v>74</v>
      </c>
      <c r="C72" s="1320"/>
      <c r="D72" s="1098" t="e">
        <f ca="1">OFFSET(Calculations!$D$111,0,MATCH(Calculations!$D$14,Calculations!$E$14:$K$14,0))</f>
        <v>#N/A</v>
      </c>
      <c r="E72" s="1098" t="e">
        <f ca="1">IF(Reduced_Test_Required="No","N/A",OFFSET(Calculations!$D$111,0,MATCH(Calculations!$D$14,Calculations!$E$14:$K$14,0)+1))</f>
        <v>#N/A</v>
      </c>
      <c r="F72" s="578" t="s">
        <v>993</v>
      </c>
      <c r="G72" s="542"/>
      <c r="H72" s="1094"/>
      <c r="Q72" s="158"/>
    </row>
    <row r="73" spans="2:17" customFormat="1" ht="17" thickBot="1" x14ac:dyDescent="0.45">
      <c r="B73" s="1355" t="s">
        <v>226</v>
      </c>
      <c r="C73" s="1356"/>
      <c r="D73" s="1097" t="e">
        <f ca="1">OFFSET(Calculations!$D$92,0,MATCH(Calculations!$D$14,Calculations!$E$14:$K$14,0))</f>
        <v>#N/A</v>
      </c>
      <c r="E73" s="1097" t="e">
        <f ca="1">IF(Reduced_Test_Required="No","N/A",OFFSET(Calculations!$D$92,0,MATCH(Calculations!$D$14,Calculations!$E$14:$K$14,0)+1))</f>
        <v>#N/A</v>
      </c>
      <c r="F73" s="1103" t="s">
        <v>604</v>
      </c>
      <c r="G73" s="1095"/>
      <c r="H73" s="1096"/>
      <c r="Q73" s="158"/>
    </row>
    <row r="74" spans="2:17" customFormat="1" ht="16" thickBot="1" x14ac:dyDescent="0.45">
      <c r="B74" s="265" t="s">
        <v>996</v>
      </c>
      <c r="C74" s="267"/>
      <c r="D74" s="267"/>
      <c r="E74" s="267"/>
      <c r="F74" s="267"/>
      <c r="G74" s="267"/>
      <c r="H74" s="266"/>
      <c r="Q74" s="158"/>
    </row>
    <row r="75" spans="2:17" customFormat="1" x14ac:dyDescent="0.4">
      <c r="B75" s="268"/>
      <c r="C75" s="268"/>
      <c r="D75" s="268"/>
      <c r="E75" s="268"/>
      <c r="Q75" s="158"/>
    </row>
    <row r="76" spans="2:17" customFormat="1" ht="16" thickBot="1" x14ac:dyDescent="0.45">
      <c r="B76" s="268"/>
      <c r="C76" s="268"/>
      <c r="D76" s="268"/>
      <c r="E76" s="268"/>
      <c r="Q76" s="158"/>
    </row>
    <row r="77" spans="2:17" customFormat="1" ht="18" thickBot="1" x14ac:dyDescent="0.45">
      <c r="B77" s="503" t="s">
        <v>999</v>
      </c>
      <c r="C77" s="504"/>
      <c r="D77" s="504"/>
      <c r="E77" s="505"/>
      <c r="Q77" s="158"/>
    </row>
    <row r="78" spans="2:17" customFormat="1" ht="16" thickBot="1" x14ac:dyDescent="0.45">
      <c r="B78" s="1350" t="s">
        <v>998</v>
      </c>
      <c r="C78" s="1351"/>
      <c r="D78" s="1351"/>
      <c r="E78" s="1352"/>
      <c r="Q78" s="158"/>
    </row>
    <row r="79" spans="2:17" customFormat="1" ht="138" customHeight="1" thickBot="1" x14ac:dyDescent="0.45">
      <c r="B79" s="1305" t="s">
        <v>997</v>
      </c>
      <c r="C79" s="1306"/>
      <c r="D79" s="1306"/>
      <c r="E79" s="1307"/>
      <c r="Q79" s="158"/>
    </row>
    <row r="80" spans="2:17" customFormat="1" ht="16" thickBot="1" x14ac:dyDescent="0.45">
      <c r="B80" s="1305"/>
      <c r="C80" s="1306"/>
      <c r="D80" s="1306"/>
      <c r="E80" s="1307"/>
      <c r="Q80" s="158"/>
    </row>
    <row r="81" spans="2:20" customFormat="1" x14ac:dyDescent="0.4">
      <c r="B81" s="742" t="s">
        <v>52</v>
      </c>
      <c r="C81" s="277" t="s">
        <v>34</v>
      </c>
      <c r="D81" s="269" t="s">
        <v>138</v>
      </c>
      <c r="E81" s="270" t="s">
        <v>33</v>
      </c>
      <c r="Q81" s="158"/>
    </row>
    <row r="82" spans="2:20" customFormat="1" ht="17.5" x14ac:dyDescent="0.4">
      <c r="B82" s="767" t="s">
        <v>588</v>
      </c>
      <c r="C82" s="111"/>
      <c r="D82" s="771" t="s">
        <v>595</v>
      </c>
      <c r="E82" s="772" t="s">
        <v>596</v>
      </c>
      <c r="Q82" s="158"/>
    </row>
    <row r="83" spans="2:20" customFormat="1" ht="17.5" x14ac:dyDescent="0.4">
      <c r="B83" s="769" t="s">
        <v>589</v>
      </c>
      <c r="C83" s="111"/>
      <c r="D83" s="773" t="s">
        <v>595</v>
      </c>
      <c r="E83" s="774" t="s">
        <v>597</v>
      </c>
      <c r="Q83" s="158"/>
    </row>
    <row r="84" spans="2:20" customFormat="1" ht="46.5" x14ac:dyDescent="0.4">
      <c r="B84" s="770" t="s">
        <v>590</v>
      </c>
      <c r="C84" s="111"/>
      <c r="D84" s="775" t="s">
        <v>587</v>
      </c>
      <c r="E84" s="776" t="s">
        <v>586</v>
      </c>
      <c r="Q84" s="158"/>
      <c r="T84" s="542"/>
    </row>
    <row r="85" spans="2:20" customFormat="1" ht="31" x14ac:dyDescent="0.4">
      <c r="B85" s="769" t="s">
        <v>591</v>
      </c>
      <c r="C85" s="111"/>
      <c r="D85" s="777" t="s">
        <v>595</v>
      </c>
      <c r="E85" s="774" t="s">
        <v>598</v>
      </c>
      <c r="Q85" s="158"/>
    </row>
    <row r="86" spans="2:20" customFormat="1" ht="31" x14ac:dyDescent="0.4">
      <c r="B86" s="770" t="s">
        <v>592</v>
      </c>
      <c r="C86" s="111"/>
      <c r="D86" s="773" t="s">
        <v>595</v>
      </c>
      <c r="E86" s="774" t="s">
        <v>599</v>
      </c>
      <c r="Q86" s="158"/>
    </row>
    <row r="87" spans="2:20" customFormat="1" ht="16.5" x14ac:dyDescent="0.4">
      <c r="B87" s="769" t="s">
        <v>593</v>
      </c>
      <c r="C87" s="111"/>
      <c r="D87" s="778" t="s">
        <v>36</v>
      </c>
      <c r="E87" s="774" t="s">
        <v>600</v>
      </c>
      <c r="Q87" s="158"/>
    </row>
    <row r="88" spans="2:20" customFormat="1" ht="16.5" x14ac:dyDescent="0.4">
      <c r="B88" s="770" t="s">
        <v>594</v>
      </c>
      <c r="C88" s="111"/>
      <c r="D88" s="778" t="s">
        <v>36</v>
      </c>
      <c r="E88" s="774" t="s">
        <v>601</v>
      </c>
      <c r="Q88" s="158"/>
    </row>
    <row r="89" spans="2:20" customFormat="1" ht="16.5" x14ac:dyDescent="0.4">
      <c r="B89" s="769" t="s">
        <v>614</v>
      </c>
      <c r="C89" s="541" t="str">
        <f>IF(OR(C87="",C88=""),"",C87+C88)</f>
        <v/>
      </c>
      <c r="D89" s="779" t="s">
        <v>36</v>
      </c>
      <c r="E89" s="774" t="s">
        <v>615</v>
      </c>
      <c r="Q89" s="158"/>
    </row>
    <row r="90" spans="2:20" customFormat="1" ht="31" x14ac:dyDescent="0.4">
      <c r="B90" s="769" t="s">
        <v>613</v>
      </c>
      <c r="C90" s="541" t="str">
        <f>IF(OR(C84="",C85="",C86=""),"",C85*COS(C84)+C86)</f>
        <v/>
      </c>
      <c r="D90" s="773" t="s">
        <v>36</v>
      </c>
      <c r="E90" s="774" t="s">
        <v>611</v>
      </c>
      <c r="Q90" s="158"/>
    </row>
    <row r="91" spans="2:20" customFormat="1" ht="17" thickBot="1" x14ac:dyDescent="0.45">
      <c r="B91" s="768"/>
      <c r="C91" s="743" t="str">
        <f>IFERROR((C90/C82)*SQRT(5/(5*(C90/C82)^2+2.6*(1-(C90/C82))^1.58)),"")</f>
        <v/>
      </c>
      <c r="D91" s="780" t="s">
        <v>36</v>
      </c>
      <c r="E91" s="781" t="s">
        <v>612</v>
      </c>
      <c r="Q91" s="158"/>
    </row>
    <row r="92" spans="2:20" customFormat="1" x14ac:dyDescent="0.4">
      <c r="B92" s="268"/>
      <c r="C92" s="268"/>
      <c r="D92" s="268"/>
      <c r="E92" s="268"/>
      <c r="Q92" s="158"/>
    </row>
    <row r="93" spans="2:20" customFormat="1" ht="16" thickBot="1" x14ac:dyDescent="0.45">
      <c r="B93" s="268"/>
      <c r="C93" s="268"/>
      <c r="D93" s="268"/>
      <c r="E93" s="268"/>
      <c r="Q93" s="158"/>
    </row>
    <row r="94" spans="2:20" s="133" customFormat="1" ht="16" thickBot="1" x14ac:dyDescent="0.45">
      <c r="B94" s="265" t="s">
        <v>584</v>
      </c>
      <c r="C94" s="267"/>
      <c r="D94" s="267"/>
      <c r="E94" s="266"/>
      <c r="Q94" s="158"/>
    </row>
    <row r="95" spans="2:20" s="133" customFormat="1" x14ac:dyDescent="0.4">
      <c r="B95" s="1331" t="s">
        <v>969</v>
      </c>
      <c r="C95" s="1332"/>
      <c r="D95" s="1332"/>
      <c r="E95" s="1333"/>
      <c r="Q95" s="158"/>
    </row>
    <row r="96" spans="2:20" s="133" customFormat="1" ht="136.5" customHeight="1" x14ac:dyDescent="0.4">
      <c r="B96" s="1334" t="s">
        <v>970</v>
      </c>
      <c r="C96" s="1335"/>
      <c r="D96" s="1335"/>
      <c r="E96" s="1336"/>
      <c r="Q96" s="158"/>
    </row>
    <row r="97" spans="1:17" s="133" customFormat="1" ht="153.75" customHeight="1" x14ac:dyDescent="0.4">
      <c r="B97" s="1334" t="s">
        <v>971</v>
      </c>
      <c r="C97" s="1335"/>
      <c r="D97" s="1335"/>
      <c r="E97" s="1336"/>
      <c r="Q97" s="158"/>
    </row>
    <row r="98" spans="1:17" s="133" customFormat="1" x14ac:dyDescent="0.4">
      <c r="B98" s="1080"/>
      <c r="C98" s="1079"/>
      <c r="D98" s="1079"/>
      <c r="E98" s="1081"/>
      <c r="Q98" s="158"/>
    </row>
    <row r="99" spans="1:17" s="133" customFormat="1" x14ac:dyDescent="0.4">
      <c r="B99" s="1042" t="s">
        <v>52</v>
      </c>
      <c r="C99" s="952" t="s">
        <v>34</v>
      </c>
      <c r="D99" s="1005" t="s">
        <v>35</v>
      </c>
      <c r="E99" s="1082" t="s">
        <v>33</v>
      </c>
      <c r="Q99" s="158"/>
    </row>
    <row r="100" spans="1:17" s="133" customFormat="1" ht="16.5" x14ac:dyDescent="0.4">
      <c r="B100" s="260" t="s">
        <v>836</v>
      </c>
      <c r="C100" s="111"/>
      <c r="D100" s="273" t="s">
        <v>182</v>
      </c>
      <c r="E100" s="582" t="s">
        <v>602</v>
      </c>
      <c r="Q100" s="158"/>
    </row>
    <row r="101" spans="1:17" s="133" customFormat="1" ht="17" thickBot="1" x14ac:dyDescent="0.45">
      <c r="B101" s="275" t="s">
        <v>837</v>
      </c>
      <c r="C101" s="121"/>
      <c r="D101" s="766" t="s">
        <v>182</v>
      </c>
      <c r="E101" s="583" t="s">
        <v>603</v>
      </c>
      <c r="Q101" s="158"/>
    </row>
    <row r="102" spans="1:17" s="133" customFormat="1" x14ac:dyDescent="0.4">
      <c r="B102" s="162"/>
      <c r="Q102" s="158"/>
    </row>
    <row r="103" spans="1:17" s="133" customFormat="1" ht="16" thickBot="1" x14ac:dyDescent="0.45">
      <c r="B103" s="162"/>
      <c r="Q103" s="158"/>
    </row>
    <row r="104" spans="1:17" s="133" customFormat="1" ht="16" thickBot="1" x14ac:dyDescent="0.45">
      <c r="B104" s="265" t="str">
        <f>"Power Burner Motor Efficiency" &amp; IF('General Info &amp; Test Results'!C40="Power",""," - NOT USED FOR THIS TEST")</f>
        <v>Power Burner Motor Efficiency - NOT USED FOR THIS TEST</v>
      </c>
      <c r="C104" s="267"/>
      <c r="D104" s="267"/>
      <c r="E104" s="266"/>
      <c r="Q104" s="158"/>
    </row>
    <row r="105" spans="1:17" s="133" customFormat="1" x14ac:dyDescent="0.4">
      <c r="B105" s="572" t="s">
        <v>52</v>
      </c>
      <c r="C105" s="277" t="s">
        <v>34</v>
      </c>
      <c r="D105" s="269" t="s">
        <v>35</v>
      </c>
      <c r="E105" s="270" t="s">
        <v>33</v>
      </c>
      <c r="Q105" s="158"/>
    </row>
    <row r="106" spans="1:17" s="133" customFormat="1" ht="16.5" x14ac:dyDescent="0.4">
      <c r="B106" s="260" t="s">
        <v>791</v>
      </c>
      <c r="C106" s="111"/>
      <c r="D106" s="272" t="s">
        <v>286</v>
      </c>
      <c r="E106" s="582" t="s">
        <v>793</v>
      </c>
      <c r="Q106" s="158"/>
    </row>
    <row r="107" spans="1:17" s="133" customFormat="1" ht="17" thickBot="1" x14ac:dyDescent="0.45">
      <c r="B107" s="275" t="s">
        <v>792</v>
      </c>
      <c r="C107" s="702">
        <f>IF('General Info &amp; Test Results'!$C$40&lt;&gt;"Power",0,IF(C106="",50,C106))</f>
        <v>0</v>
      </c>
      <c r="D107" s="276" t="s">
        <v>286</v>
      </c>
      <c r="E107" s="583" t="s">
        <v>793</v>
      </c>
      <c r="Q107" s="158"/>
    </row>
    <row r="108" spans="1:17" s="133" customFormat="1" x14ac:dyDescent="0.4">
      <c r="B108" s="162"/>
      <c r="Q108" s="158"/>
    </row>
    <row r="109" spans="1:17" x14ac:dyDescent="0.4">
      <c r="A109" s="158"/>
      <c r="B109" s="158"/>
      <c r="C109" s="158"/>
      <c r="D109" s="158"/>
      <c r="E109" s="158"/>
      <c r="F109" s="158"/>
      <c r="G109" s="158"/>
      <c r="H109" s="158"/>
      <c r="I109" s="158"/>
      <c r="J109" s="158"/>
      <c r="K109" s="158"/>
      <c r="L109" s="158"/>
      <c r="M109" s="158"/>
      <c r="N109" s="158"/>
      <c r="O109" s="158"/>
      <c r="P109" s="158"/>
      <c r="Q109" s="158"/>
    </row>
  </sheetData>
  <sheetProtection algorithmName="SHA-512" hashValue="ntQfKPNfZ6nrtt0Q1roJU2lMIXRCaUf3DVZb3JQD03uYqgLILQIuFB0V9GesBhCCX+LOlEj2ou0clyVwPDSbRQ==" saltValue="yoknO/vmWQoZ2BFEE60Zbw==" spinCount="100000" sheet="1" selectLockedCells="1"/>
  <mergeCells count="49">
    <mergeCell ref="B2:C2"/>
    <mergeCell ref="B39:C39"/>
    <mergeCell ref="B38:C38"/>
    <mergeCell ref="B37:C37"/>
    <mergeCell ref="B36:C36"/>
    <mergeCell ref="B17:C17"/>
    <mergeCell ref="B18:C18"/>
    <mergeCell ref="B16:C16"/>
    <mergeCell ref="B34:H34"/>
    <mergeCell ref="H13:H14"/>
    <mergeCell ref="D13:D14"/>
    <mergeCell ref="B13:C14"/>
    <mergeCell ref="B95:E95"/>
    <mergeCell ref="B96:E96"/>
    <mergeCell ref="B97:E97"/>
    <mergeCell ref="B12:H12"/>
    <mergeCell ref="B20:H20"/>
    <mergeCell ref="B21:H21"/>
    <mergeCell ref="B22:H22"/>
    <mergeCell ref="B15:C15"/>
    <mergeCell ref="B78:E78"/>
    <mergeCell ref="B71:C71"/>
    <mergeCell ref="B73:C73"/>
    <mergeCell ref="B66:C66"/>
    <mergeCell ref="B67:C67"/>
    <mergeCell ref="E13:F13"/>
    <mergeCell ref="G13:G14"/>
    <mergeCell ref="B62:H62"/>
    <mergeCell ref="B52:H52"/>
    <mergeCell ref="B53:H53"/>
    <mergeCell ref="B54:H54"/>
    <mergeCell ref="B55:H55"/>
    <mergeCell ref="B57:H57"/>
    <mergeCell ref="B43:H43"/>
    <mergeCell ref="B79:E79"/>
    <mergeCell ref="B80:E80"/>
    <mergeCell ref="B63:H63"/>
    <mergeCell ref="B65:C65"/>
    <mergeCell ref="E65:H65"/>
    <mergeCell ref="E66:H66"/>
    <mergeCell ref="E67:H67"/>
    <mergeCell ref="B72:C72"/>
    <mergeCell ref="D69:E69"/>
    <mergeCell ref="B69:C70"/>
    <mergeCell ref="F69:F70"/>
    <mergeCell ref="B58:H58"/>
    <mergeCell ref="B59:H59"/>
    <mergeCell ref="B60:H60"/>
    <mergeCell ref="B61:H61"/>
  </mergeCells>
  <phoneticPr fontId="29" type="noConversion"/>
  <dataValidations count="2">
    <dataValidation type="decimal" allowBlank="1" showInputMessage="1" showErrorMessage="1" sqref="D37:D38 D15:D17 C26:D26 C29:D29 C82:C88" xr:uid="{DB167CF3-CEE5-4F80-B0F8-8448E2C773A0}">
      <formula1>-100000000000000000000</formula1>
      <formula2>100000000000000000000</formula2>
    </dataValidation>
    <dataValidation type="list" showInputMessage="1" showErrorMessage="1" sqref="C45" xr:uid="{361E19E7-33A0-49DF-9787-D9ACF41C443D}">
      <formula1>Jacket_Loss</formula1>
    </dataValidation>
  </dataValidations>
  <hyperlinks>
    <hyperlink ref="E4" location="Instructions!C33" display="Back to Instructions tab" xr:uid="{00000000-0004-0000-0600-000000000000}"/>
  </hyperlinks>
  <printOptions horizontalCentered="1"/>
  <pageMargins left="0.25" right="0.25" top="0.75" bottom="0.25" header="0.3" footer="0.3"/>
  <pageSetup scale="39" orientation="landscape" r:id="rId1"/>
  <headerFooter>
    <oddHeader>&amp;F</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A170472-F5ED-4536-8118-764E655A5355}">
          <x14:formula1>
            <xm:f>'Drop-Downs and Tables'!$B$92:$B$94</xm:f>
          </x14:formula1>
          <xm:sqref>C30:D30 D65:D67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F1EA9-B4A7-495E-B7CA-5A2B5871E2E0}">
  <sheetPr codeName="Sheet2">
    <tabColor rgb="FF0070C0"/>
  </sheetPr>
  <dimension ref="A1:M153"/>
  <sheetViews>
    <sheetView zoomScale="80" zoomScaleNormal="80" workbookViewId="0">
      <selection activeCell="E4" sqref="E4"/>
    </sheetView>
  </sheetViews>
  <sheetFormatPr defaultColWidth="9" defaultRowHeight="15.5" x14ac:dyDescent="0.4"/>
  <cols>
    <col min="1" max="1" width="3" style="1141" customWidth="1"/>
    <col min="2" max="2" width="52.6328125" style="1141" customWidth="1"/>
    <col min="3" max="3" width="30.7265625" style="1141" customWidth="1"/>
    <col min="4" max="11" width="13.08984375" style="1141" customWidth="1"/>
    <col min="12" max="12" width="9" style="1141"/>
    <col min="13" max="13" width="3" style="1141" customWidth="1"/>
    <col min="14" max="16384" width="9" style="1141"/>
  </cols>
  <sheetData>
    <row r="1" spans="2:13" ht="16" thickBot="1" x14ac:dyDescent="0.45">
      <c r="M1" s="1207"/>
    </row>
    <row r="2" spans="2:13" ht="16" thickBot="1" x14ac:dyDescent="0.45">
      <c r="B2" s="1389" t="s">
        <v>236</v>
      </c>
      <c r="C2" s="1390"/>
      <c r="M2" s="1207"/>
    </row>
    <row r="3" spans="2:13" x14ac:dyDescent="0.4">
      <c r="B3" s="1160" t="s">
        <v>237</v>
      </c>
      <c r="C3" s="1161" t="str">
        <f>'Version Control'!C3</f>
        <v>Consumer Boiler</v>
      </c>
      <c r="M3" s="1207"/>
    </row>
    <row r="4" spans="2:13" ht="17" x14ac:dyDescent="0.4">
      <c r="B4" s="1162" t="s">
        <v>119</v>
      </c>
      <c r="C4" s="1163" t="str">
        <f>'Version Control'!C4</f>
        <v>v1.1</v>
      </c>
      <c r="E4" s="1164" t="s">
        <v>126</v>
      </c>
      <c r="M4" s="1207"/>
    </row>
    <row r="5" spans="2:13" x14ac:dyDescent="0.4">
      <c r="B5" s="1162" t="s">
        <v>120</v>
      </c>
      <c r="C5" s="1165">
        <f>'Version Control'!C5</f>
        <v>43721</v>
      </c>
      <c r="M5" s="1207"/>
    </row>
    <row r="6" spans="2:13" x14ac:dyDescent="0.4">
      <c r="B6" s="1166" t="s">
        <v>118</v>
      </c>
      <c r="C6" s="1167" t="str">
        <f ca="1">MID(CELL("filename",A1), FIND("]", CELL("filename", A1))+ 1, 255)</f>
        <v>Jacket Loss</v>
      </c>
      <c r="M6" s="1207"/>
    </row>
    <row r="7" spans="2:13" x14ac:dyDescent="0.4">
      <c r="B7" s="1168" t="s">
        <v>117</v>
      </c>
      <c r="C7" s="1169" t="str">
        <f ca="1">'Version Control'!C7</f>
        <v>Consumer Boiler - v1.1.xlsx</v>
      </c>
      <c r="M7" s="1207"/>
    </row>
    <row r="8" spans="2:13" ht="16" thickBot="1" x14ac:dyDescent="0.45">
      <c r="B8" s="1170" t="s">
        <v>121</v>
      </c>
      <c r="C8" s="1171">
        <f>'Version Control'!C8</f>
        <v>0</v>
      </c>
      <c r="M8" s="1207"/>
    </row>
    <row r="9" spans="2:13" x14ac:dyDescent="0.4">
      <c r="M9" s="1207"/>
    </row>
    <row r="10" spans="2:13" ht="16" thickBot="1" x14ac:dyDescent="0.45">
      <c r="M10" s="1207"/>
    </row>
    <row r="11" spans="2:13" ht="16" thickBot="1" x14ac:dyDescent="0.45">
      <c r="B11" s="1183" t="s">
        <v>1009</v>
      </c>
      <c r="C11" s="1184"/>
      <c r="D11" s="1184"/>
      <c r="E11" s="1184"/>
      <c r="F11" s="1184"/>
      <c r="G11" s="1184"/>
      <c r="H11" s="1184"/>
      <c r="I11" s="1184"/>
      <c r="J11" s="1184"/>
      <c r="K11" s="1185"/>
      <c r="M11" s="1207"/>
    </row>
    <row r="12" spans="2:13" ht="102.75" customHeight="1" x14ac:dyDescent="0.4">
      <c r="B12" s="1406" t="s">
        <v>1001</v>
      </c>
      <c r="C12" s="1407"/>
      <c r="D12" s="1407"/>
      <c r="E12" s="1407"/>
      <c r="F12" s="1407"/>
      <c r="G12" s="1407"/>
      <c r="H12" s="1407"/>
      <c r="I12" s="1407"/>
      <c r="J12" s="1407"/>
      <c r="K12" s="1408"/>
      <c r="M12" s="1207"/>
    </row>
    <row r="13" spans="2:13" x14ac:dyDescent="0.4">
      <c r="B13" s="1140"/>
      <c r="K13" s="1142"/>
      <c r="M13" s="1207"/>
    </row>
    <row r="14" spans="2:13" ht="53.25" customHeight="1" x14ac:dyDescent="0.4">
      <c r="B14" s="1391" t="s">
        <v>1003</v>
      </c>
      <c r="C14" s="1392"/>
      <c r="D14" s="1392"/>
      <c r="E14" s="1392"/>
      <c r="F14" s="1392"/>
      <c r="G14" s="1392"/>
      <c r="H14" s="1392"/>
      <c r="I14" s="1392"/>
      <c r="J14" s="1392"/>
      <c r="K14" s="1393"/>
      <c r="M14" s="1207"/>
    </row>
    <row r="15" spans="2:13" x14ac:dyDescent="0.4">
      <c r="B15" s="1186"/>
      <c r="C15" s="1182"/>
      <c r="D15" s="1182"/>
      <c r="E15" s="1182"/>
      <c r="F15" s="1182"/>
      <c r="G15" s="1182"/>
      <c r="H15" s="1182"/>
      <c r="I15" s="1182"/>
      <c r="J15" s="1182"/>
      <c r="K15" s="1187"/>
      <c r="M15" s="1207"/>
    </row>
    <row r="16" spans="2:13" x14ac:dyDescent="0.4">
      <c r="B16" s="1403" t="s">
        <v>1002</v>
      </c>
      <c r="C16" s="1404"/>
      <c r="D16" s="1404"/>
      <c r="E16" s="1404"/>
      <c r="F16" s="1404"/>
      <c r="G16" s="1404"/>
      <c r="H16" s="1404"/>
      <c r="I16" s="1404"/>
      <c r="J16" s="1404"/>
      <c r="K16" s="1405"/>
      <c r="M16" s="1207"/>
    </row>
    <row r="17" spans="2:13" ht="170.25" customHeight="1" x14ac:dyDescent="0.4">
      <c r="B17" s="1400" t="s">
        <v>1004</v>
      </c>
      <c r="C17" s="1401"/>
      <c r="D17" s="1401"/>
      <c r="E17" s="1401"/>
      <c r="F17" s="1401"/>
      <c r="G17" s="1401"/>
      <c r="H17" s="1401"/>
      <c r="I17" s="1401"/>
      <c r="J17" s="1401"/>
      <c r="K17" s="1402"/>
      <c r="M17" s="1207"/>
    </row>
    <row r="18" spans="2:13" ht="169.5" customHeight="1" x14ac:dyDescent="0.4">
      <c r="B18" s="1394" t="s">
        <v>1005</v>
      </c>
      <c r="C18" s="1395"/>
      <c r="D18" s="1395"/>
      <c r="E18" s="1395"/>
      <c r="F18" s="1395"/>
      <c r="G18" s="1395"/>
      <c r="H18" s="1395"/>
      <c r="I18" s="1395"/>
      <c r="J18" s="1395"/>
      <c r="K18" s="1396"/>
      <c r="M18" s="1207"/>
    </row>
    <row r="19" spans="2:13" ht="224.25" customHeight="1" x14ac:dyDescent="0.4">
      <c r="B19" s="1397" t="s">
        <v>1133</v>
      </c>
      <c r="C19" s="1398"/>
      <c r="D19" s="1398"/>
      <c r="E19" s="1398"/>
      <c r="F19" s="1398"/>
      <c r="G19" s="1398"/>
      <c r="H19" s="1398"/>
      <c r="I19" s="1398"/>
      <c r="J19" s="1398"/>
      <c r="K19" s="1399"/>
      <c r="M19" s="1207"/>
    </row>
    <row r="20" spans="2:13" x14ac:dyDescent="0.4">
      <c r="B20" s="1140"/>
      <c r="K20" s="1142"/>
      <c r="M20" s="1207"/>
    </row>
    <row r="21" spans="2:13" ht="33" customHeight="1" x14ac:dyDescent="0.4">
      <c r="B21" s="1391" t="s">
        <v>1007</v>
      </c>
      <c r="C21" s="1392"/>
      <c r="D21" s="1392"/>
      <c r="E21" s="1392"/>
      <c r="F21" s="1392"/>
      <c r="G21" s="1392"/>
      <c r="H21" s="1392"/>
      <c r="I21" s="1392"/>
      <c r="J21" s="1392"/>
      <c r="K21" s="1393"/>
      <c r="M21" s="1207"/>
    </row>
    <row r="22" spans="2:13" ht="34.5" customHeight="1" x14ac:dyDescent="0.4">
      <c r="B22" s="1394" t="s">
        <v>1006</v>
      </c>
      <c r="C22" s="1395"/>
      <c r="D22" s="1395"/>
      <c r="E22" s="1395"/>
      <c r="F22" s="1395"/>
      <c r="G22" s="1395"/>
      <c r="H22" s="1395"/>
      <c r="I22" s="1395"/>
      <c r="J22" s="1395"/>
      <c r="K22" s="1396"/>
      <c r="M22" s="1207"/>
    </row>
    <row r="23" spans="2:13" x14ac:dyDescent="0.4">
      <c r="B23" s="1140"/>
      <c r="K23" s="1142"/>
      <c r="M23" s="1207"/>
    </row>
    <row r="24" spans="2:13" ht="36" customHeight="1" x14ac:dyDescent="0.4">
      <c r="B24" s="1391" t="s">
        <v>1008</v>
      </c>
      <c r="C24" s="1392"/>
      <c r="D24" s="1392"/>
      <c r="E24" s="1392"/>
      <c r="F24" s="1392"/>
      <c r="G24" s="1392"/>
      <c r="H24" s="1392"/>
      <c r="I24" s="1392"/>
      <c r="J24" s="1392"/>
      <c r="K24" s="1393"/>
      <c r="M24" s="1207"/>
    </row>
    <row r="25" spans="2:13" x14ac:dyDescent="0.4">
      <c r="B25" s="1140"/>
      <c r="K25" s="1142"/>
      <c r="M25" s="1207"/>
    </row>
    <row r="26" spans="2:13" x14ac:dyDescent="0.4">
      <c r="B26" s="1188" t="s">
        <v>1131</v>
      </c>
      <c r="C26" s="1146" t="s">
        <v>33</v>
      </c>
      <c r="D26" s="1146" t="s">
        <v>34</v>
      </c>
      <c r="E26" s="1146" t="s">
        <v>138</v>
      </c>
      <c r="F26" s="1137"/>
      <c r="G26" s="1137"/>
      <c r="H26" s="1137"/>
      <c r="I26" s="1137"/>
      <c r="J26" s="1387"/>
      <c r="K26" s="1388"/>
      <c r="M26" s="1207"/>
    </row>
    <row r="27" spans="2:13" ht="16.5" x14ac:dyDescent="0.4">
      <c r="B27" s="1189" t="s">
        <v>1119</v>
      </c>
      <c r="C27" s="1157" t="s">
        <v>1129</v>
      </c>
      <c r="D27" s="1150"/>
      <c r="E27" s="1172" t="s">
        <v>1124</v>
      </c>
      <c r="F27" s="1144"/>
      <c r="G27" s="1144"/>
      <c r="H27" s="1144"/>
      <c r="I27" s="1144"/>
      <c r="K27" s="1142"/>
      <c r="M27" s="1207"/>
    </row>
    <row r="28" spans="2:13" ht="16.5" x14ac:dyDescent="0.4">
      <c r="B28" s="1190" t="s">
        <v>1120</v>
      </c>
      <c r="C28" s="1158" t="s">
        <v>1129</v>
      </c>
      <c r="D28" s="1143"/>
      <c r="E28" s="1173" t="s">
        <v>1124</v>
      </c>
      <c r="F28" s="1144"/>
      <c r="G28" s="1144"/>
      <c r="H28" s="1144"/>
      <c r="I28" s="1144"/>
      <c r="K28" s="1142"/>
      <c r="M28" s="1207"/>
    </row>
    <row r="29" spans="2:13" ht="16.5" x14ac:dyDescent="0.4">
      <c r="B29" s="1190" t="s">
        <v>1121</v>
      </c>
      <c r="C29" s="1158" t="s">
        <v>1129</v>
      </c>
      <c r="D29" s="1143"/>
      <c r="E29" s="1174" t="s">
        <v>1124</v>
      </c>
      <c r="F29" s="1144"/>
      <c r="G29" s="1144"/>
      <c r="H29" s="1144"/>
      <c r="I29" s="1144"/>
      <c r="K29" s="1142"/>
      <c r="M29" s="1207"/>
    </row>
    <row r="30" spans="2:13" ht="16.5" x14ac:dyDescent="0.4">
      <c r="B30" s="1145" t="s">
        <v>1122</v>
      </c>
      <c r="C30" s="1158" t="s">
        <v>1130</v>
      </c>
      <c r="D30" s="1143"/>
      <c r="E30" s="1175" t="s">
        <v>1124</v>
      </c>
      <c r="F30" s="1144"/>
      <c r="G30" s="1144"/>
      <c r="H30" s="1144"/>
      <c r="I30" s="1144"/>
      <c r="K30" s="1142"/>
      <c r="M30" s="1207"/>
    </row>
    <row r="31" spans="2:13" x14ac:dyDescent="0.4">
      <c r="B31" s="1190" t="s">
        <v>1134</v>
      </c>
      <c r="C31" s="1158" t="s">
        <v>178</v>
      </c>
      <c r="D31" s="1143"/>
      <c r="E31" s="1176" t="s">
        <v>178</v>
      </c>
      <c r="F31" s="1144"/>
      <c r="G31" s="1144"/>
      <c r="H31" s="1144"/>
      <c r="I31" s="1144"/>
      <c r="K31" s="1142"/>
      <c r="M31" s="1207"/>
    </row>
    <row r="32" spans="2:13" ht="16.5" x14ac:dyDescent="0.4">
      <c r="B32" s="1145" t="s">
        <v>1123</v>
      </c>
      <c r="C32" s="1158" t="s">
        <v>1132</v>
      </c>
      <c r="D32" s="1151" t="str">
        <f>IF(OR(D30="",D31=""),"",D30*D31)</f>
        <v/>
      </c>
      <c r="E32" s="1175" t="s">
        <v>1124</v>
      </c>
      <c r="F32" s="1144"/>
      <c r="G32" s="1144"/>
      <c r="H32" s="1144"/>
      <c r="I32" s="1144"/>
      <c r="K32" s="1142"/>
      <c r="M32" s="1207"/>
    </row>
    <row r="33" spans="2:13" x14ac:dyDescent="0.4">
      <c r="B33" s="1190"/>
      <c r="C33" s="1156"/>
      <c r="D33" s="1149"/>
      <c r="E33" s="1174"/>
      <c r="F33" s="1144"/>
      <c r="G33" s="1144"/>
      <c r="H33" s="1144"/>
      <c r="I33" s="1144"/>
      <c r="K33" s="1142"/>
      <c r="M33" s="1207"/>
    </row>
    <row r="34" spans="2:13" ht="16.5" x14ac:dyDescent="0.4">
      <c r="B34" s="1145" t="s">
        <v>53</v>
      </c>
      <c r="C34" s="1158" t="s">
        <v>1138</v>
      </c>
      <c r="D34" s="1143"/>
      <c r="E34" s="1175" t="s">
        <v>51</v>
      </c>
      <c r="F34" s="1144"/>
      <c r="G34" s="1144"/>
      <c r="H34" s="1144"/>
      <c r="I34" s="1144"/>
      <c r="K34" s="1142"/>
      <c r="M34" s="1207"/>
    </row>
    <row r="35" spans="2:13" x14ac:dyDescent="0.4">
      <c r="B35" s="1191"/>
      <c r="C35" s="1156"/>
      <c r="D35" s="1177"/>
      <c r="E35" s="1174"/>
      <c r="F35" s="1144"/>
      <c r="G35" s="1144"/>
      <c r="H35" s="1144"/>
      <c r="I35" s="1144"/>
      <c r="K35" s="1142"/>
      <c r="M35" s="1207"/>
    </row>
    <row r="36" spans="2:13" x14ac:dyDescent="0.4">
      <c r="B36" s="1191" t="s">
        <v>1125</v>
      </c>
      <c r="C36" s="1158" t="s">
        <v>178</v>
      </c>
      <c r="D36" s="1152" t="str">
        <f>IFERROR(($D$32+D27)*SUM($E$52:$E$151),"")</f>
        <v/>
      </c>
      <c r="E36" s="1175" t="s">
        <v>37</v>
      </c>
      <c r="F36" s="1144"/>
      <c r="G36" s="1144"/>
      <c r="H36" s="1144"/>
      <c r="I36" s="1144"/>
      <c r="K36" s="1142"/>
      <c r="M36" s="1207"/>
    </row>
    <row r="37" spans="2:13" x14ac:dyDescent="0.4">
      <c r="B37" s="1190" t="s">
        <v>1126</v>
      </c>
      <c r="C37" s="1158" t="s">
        <v>178</v>
      </c>
      <c r="D37" s="1152" t="str">
        <f>IFERROR(($D$32+D28)*SUM($H$52:$H$151),"")</f>
        <v/>
      </c>
      <c r="E37" s="1175" t="s">
        <v>37</v>
      </c>
      <c r="G37" s="1144"/>
      <c r="H37" s="1144"/>
      <c r="I37" s="1144"/>
      <c r="K37" s="1142"/>
      <c r="M37" s="1207"/>
    </row>
    <row r="38" spans="2:13" x14ac:dyDescent="0.4">
      <c r="B38" s="1190" t="s">
        <v>1127</v>
      </c>
      <c r="C38" s="1158" t="s">
        <v>178</v>
      </c>
      <c r="D38" s="1152" t="str">
        <f>IFERROR(($D$32+D29)*SUM($K$52:$K$151),"")</f>
        <v/>
      </c>
      <c r="E38" s="1174" t="s">
        <v>37</v>
      </c>
      <c r="F38" s="1144"/>
      <c r="G38" s="1144"/>
      <c r="H38" s="1144"/>
      <c r="I38" s="1144"/>
      <c r="K38" s="1142"/>
      <c r="M38" s="1207"/>
    </row>
    <row r="39" spans="2:13" x14ac:dyDescent="0.4">
      <c r="B39" s="1138"/>
      <c r="C39" s="1139"/>
      <c r="D39" s="1149"/>
      <c r="E39" s="1178"/>
      <c r="F39" s="1139"/>
      <c r="G39" s="1139"/>
      <c r="H39" s="1139"/>
      <c r="I39" s="1139"/>
      <c r="K39" s="1142"/>
      <c r="M39" s="1207"/>
    </row>
    <row r="40" spans="2:13" ht="16.5" x14ac:dyDescent="0.4">
      <c r="B40" s="1192" t="s">
        <v>1117</v>
      </c>
      <c r="C40" s="1202" t="s">
        <v>1128</v>
      </c>
      <c r="D40" s="1179" t="str">
        <f>IF(OR(D36="",D37="",D38=""),"",100*SUM($D$36:$D$38)/'Max Test'!$C$16)</f>
        <v/>
      </c>
      <c r="E40" s="1178" t="s">
        <v>218</v>
      </c>
      <c r="F40" s="1139"/>
      <c r="G40" s="1139"/>
      <c r="H40" s="1139"/>
      <c r="I40" s="1139"/>
      <c r="K40" s="1142"/>
      <c r="M40" s="1207"/>
    </row>
    <row r="41" spans="2:13" ht="16.5" x14ac:dyDescent="0.4">
      <c r="B41" s="1192" t="s">
        <v>1118</v>
      </c>
      <c r="C41" s="1202" t="s">
        <v>1128</v>
      </c>
      <c r="D41" s="1153"/>
      <c r="E41" s="1178" t="s">
        <v>218</v>
      </c>
      <c r="F41" s="1139"/>
      <c r="G41" s="1139"/>
      <c r="H41" s="1139"/>
      <c r="I41" s="1139"/>
      <c r="K41" s="1142"/>
      <c r="M41" s="1207"/>
    </row>
    <row r="42" spans="2:13" ht="16.5" x14ac:dyDescent="0.4">
      <c r="B42" s="1192" t="s">
        <v>1116</v>
      </c>
      <c r="C42" s="1203" t="s">
        <v>1128</v>
      </c>
      <c r="D42" s="1179" t="str">
        <f>IF(D41="",D40,D41)</f>
        <v/>
      </c>
      <c r="E42" s="1178" t="s">
        <v>218</v>
      </c>
      <c r="F42" s="1139"/>
      <c r="G42" s="1139"/>
      <c r="H42" s="1139"/>
      <c r="I42" s="1139"/>
      <c r="K42" s="1142"/>
      <c r="M42" s="1207"/>
    </row>
    <row r="43" spans="2:13" x14ac:dyDescent="0.4">
      <c r="B43" s="1205"/>
      <c r="C43" s="1206"/>
      <c r="D43" s="1201"/>
      <c r="E43" s="1154"/>
      <c r="F43" s="1139"/>
      <c r="G43" s="1139"/>
      <c r="H43" s="1139"/>
      <c r="I43" s="1139"/>
      <c r="K43" s="1142"/>
      <c r="M43" s="1207"/>
    </row>
    <row r="44" spans="2:13" x14ac:dyDescent="0.4">
      <c r="B44" s="1192" t="s">
        <v>1137</v>
      </c>
      <c r="C44" s="1202" t="s">
        <v>178</v>
      </c>
      <c r="D44" s="1179" t="str">
        <f>IF(AND($D$52="",$G$52="",$J$52=""),"",MIN($D$52:$D$151,$G$52:$G$151,$J$52:$J$151))</f>
        <v/>
      </c>
      <c r="E44" s="1178" t="s">
        <v>51</v>
      </c>
      <c r="F44" s="1139"/>
      <c r="G44" s="1139"/>
      <c r="H44" s="1139"/>
      <c r="I44" s="1139"/>
      <c r="K44" s="1142"/>
      <c r="M44" s="1207"/>
    </row>
    <row r="45" spans="2:13" x14ac:dyDescent="0.4">
      <c r="B45" s="1147" t="s">
        <v>1135</v>
      </c>
      <c r="C45" s="1202" t="s">
        <v>178</v>
      </c>
      <c r="D45" s="1179" t="str">
        <f>IF(AND($D$52="",$G$52="",$J$52=""),"",MAX($D$52:$D$151,$G$52:$G$151,$J$52:$J$151))</f>
        <v/>
      </c>
      <c r="E45" s="1178" t="s">
        <v>51</v>
      </c>
      <c r="F45" s="1139"/>
      <c r="G45" s="1139"/>
      <c r="H45" s="1139"/>
      <c r="I45" s="1139"/>
      <c r="K45" s="1142"/>
      <c r="M45" s="1207"/>
    </row>
    <row r="46" spans="2:13" x14ac:dyDescent="0.4">
      <c r="B46" s="1138" t="s">
        <v>1139</v>
      </c>
      <c r="C46" s="1158" t="s">
        <v>178</v>
      </c>
      <c r="D46" s="1179" t="str">
        <f>IFERROR(D45-D34,"")</f>
        <v/>
      </c>
      <c r="E46" s="1178" t="s">
        <v>51</v>
      </c>
      <c r="F46" s="1139"/>
      <c r="G46" s="1139"/>
      <c r="H46" s="1139"/>
      <c r="I46" s="1139"/>
      <c r="K46" s="1142"/>
      <c r="M46" s="1207"/>
    </row>
    <row r="47" spans="2:13" x14ac:dyDescent="0.4">
      <c r="B47" s="1192" t="s">
        <v>585</v>
      </c>
      <c r="C47" s="1158" t="s">
        <v>178</v>
      </c>
      <c r="D47" s="1179" t="str">
        <f>IF(D46="","",IF(D46&lt;=100,10,20))</f>
        <v/>
      </c>
      <c r="E47" s="1178" t="s">
        <v>51</v>
      </c>
      <c r="F47" s="1139"/>
      <c r="G47" s="1139"/>
      <c r="H47" s="1139"/>
      <c r="I47" s="1139"/>
      <c r="K47" s="1142"/>
      <c r="M47" s="1207"/>
    </row>
    <row r="48" spans="2:13" x14ac:dyDescent="0.4">
      <c r="B48" s="1193" t="s">
        <v>1136</v>
      </c>
      <c r="C48" s="1159" t="s">
        <v>178</v>
      </c>
      <c r="D48" s="1200" t="str">
        <f>IFERROR(IF(D45-D44&lt;=D47,"Yes","No"),"")</f>
        <v/>
      </c>
      <c r="E48" s="1155" t="s">
        <v>178</v>
      </c>
      <c r="F48" s="1139"/>
      <c r="G48" s="1139"/>
      <c r="H48" s="1139"/>
      <c r="I48" s="1139"/>
      <c r="K48" s="1142"/>
      <c r="M48" s="1207"/>
    </row>
    <row r="49" spans="2:13" x14ac:dyDescent="0.4">
      <c r="B49" s="1138"/>
      <c r="C49" s="1139"/>
      <c r="D49" s="1139"/>
      <c r="E49" s="1139"/>
      <c r="F49" s="1139"/>
      <c r="G49" s="1139"/>
      <c r="H49" s="1139"/>
      <c r="I49" s="1139"/>
      <c r="K49" s="1142"/>
      <c r="M49" s="1207"/>
    </row>
    <row r="50" spans="2:13" x14ac:dyDescent="0.4">
      <c r="B50" s="1138"/>
      <c r="C50" s="1384" t="s">
        <v>1010</v>
      </c>
      <c r="D50" s="1385"/>
      <c r="E50" s="1386"/>
      <c r="F50" s="1382" t="s">
        <v>1114</v>
      </c>
      <c r="G50" s="1382"/>
      <c r="H50" s="1382"/>
      <c r="I50" s="1382" t="s">
        <v>1115</v>
      </c>
      <c r="J50" s="1382"/>
      <c r="K50" s="1383"/>
      <c r="M50" s="1207"/>
    </row>
    <row r="51" spans="2:13" ht="46.5" x14ac:dyDescent="0.4">
      <c r="B51" s="1138"/>
      <c r="C51" s="1146" t="s">
        <v>1011</v>
      </c>
      <c r="D51" s="1146" t="s">
        <v>1012</v>
      </c>
      <c r="E51" s="1146" t="s">
        <v>1013</v>
      </c>
      <c r="F51" s="1146" t="s">
        <v>1011</v>
      </c>
      <c r="G51" s="1146" t="s">
        <v>1012</v>
      </c>
      <c r="H51" s="1146" t="s">
        <v>1013</v>
      </c>
      <c r="I51" s="1146" t="s">
        <v>1011</v>
      </c>
      <c r="J51" s="1146" t="s">
        <v>1012</v>
      </c>
      <c r="K51" s="1194" t="s">
        <v>1013</v>
      </c>
      <c r="M51" s="1207"/>
    </row>
    <row r="52" spans="2:13" x14ac:dyDescent="0.4">
      <c r="B52" s="1148" t="s">
        <v>1014</v>
      </c>
      <c r="C52" s="1150"/>
      <c r="D52" s="1150"/>
      <c r="E52" s="1181">
        <f>C52*(D52-$D$34)</f>
        <v>0</v>
      </c>
      <c r="F52" s="1143"/>
      <c r="G52" s="1143"/>
      <c r="H52" s="1180">
        <f t="shared" ref="H52:H83" si="0">F52*(G52-$J$22)</f>
        <v>0</v>
      </c>
      <c r="I52" s="1143"/>
      <c r="J52" s="1143"/>
      <c r="K52" s="1195">
        <f t="shared" ref="K52:K83" si="1">I52*(J52-$J$22)</f>
        <v>0</v>
      </c>
      <c r="M52" s="1207"/>
    </row>
    <row r="53" spans="2:13" x14ac:dyDescent="0.4">
      <c r="B53" s="1148" t="s">
        <v>1015</v>
      </c>
      <c r="C53" s="1143"/>
      <c r="D53" s="1143"/>
      <c r="E53" s="1180">
        <f t="shared" ref="E53:E84" si="2">C53*(D53-$J$22)</f>
        <v>0</v>
      </c>
      <c r="F53" s="1143"/>
      <c r="G53" s="1143"/>
      <c r="H53" s="1180">
        <f t="shared" si="0"/>
        <v>0</v>
      </c>
      <c r="I53" s="1143"/>
      <c r="J53" s="1143"/>
      <c r="K53" s="1195">
        <f t="shared" si="1"/>
        <v>0</v>
      </c>
      <c r="M53" s="1207"/>
    </row>
    <row r="54" spans="2:13" x14ac:dyDescent="0.4">
      <c r="B54" s="1148" t="s">
        <v>1016</v>
      </c>
      <c r="C54" s="1143"/>
      <c r="D54" s="1143"/>
      <c r="E54" s="1180">
        <f t="shared" si="2"/>
        <v>0</v>
      </c>
      <c r="F54" s="1143"/>
      <c r="G54" s="1143"/>
      <c r="H54" s="1180">
        <f t="shared" si="0"/>
        <v>0</v>
      </c>
      <c r="I54" s="1143"/>
      <c r="J54" s="1143"/>
      <c r="K54" s="1195">
        <f t="shared" si="1"/>
        <v>0</v>
      </c>
      <c r="M54" s="1207"/>
    </row>
    <row r="55" spans="2:13" x14ac:dyDescent="0.4">
      <c r="B55" s="1148" t="s">
        <v>1017</v>
      </c>
      <c r="C55" s="1143"/>
      <c r="D55" s="1143"/>
      <c r="E55" s="1180">
        <f t="shared" si="2"/>
        <v>0</v>
      </c>
      <c r="F55" s="1143"/>
      <c r="G55" s="1143"/>
      <c r="H55" s="1180">
        <f t="shared" si="0"/>
        <v>0</v>
      </c>
      <c r="I55" s="1143"/>
      <c r="J55" s="1143"/>
      <c r="K55" s="1195">
        <f t="shared" si="1"/>
        <v>0</v>
      </c>
      <c r="M55" s="1207"/>
    </row>
    <row r="56" spans="2:13" x14ac:dyDescent="0.4">
      <c r="B56" s="1148" t="s">
        <v>1018</v>
      </c>
      <c r="C56" s="1143"/>
      <c r="D56" s="1143"/>
      <c r="E56" s="1180">
        <f t="shared" si="2"/>
        <v>0</v>
      </c>
      <c r="F56" s="1143"/>
      <c r="G56" s="1143"/>
      <c r="H56" s="1180">
        <f t="shared" si="0"/>
        <v>0</v>
      </c>
      <c r="I56" s="1143"/>
      <c r="J56" s="1143"/>
      <c r="K56" s="1195">
        <f t="shared" si="1"/>
        <v>0</v>
      </c>
      <c r="M56" s="1207"/>
    </row>
    <row r="57" spans="2:13" x14ac:dyDescent="0.4">
      <c r="B57" s="1148" t="s">
        <v>1019</v>
      </c>
      <c r="C57" s="1143"/>
      <c r="D57" s="1143"/>
      <c r="E57" s="1180">
        <f t="shared" si="2"/>
        <v>0</v>
      </c>
      <c r="F57" s="1143"/>
      <c r="G57" s="1143"/>
      <c r="H57" s="1180">
        <f t="shared" si="0"/>
        <v>0</v>
      </c>
      <c r="I57" s="1143"/>
      <c r="J57" s="1143"/>
      <c r="K57" s="1195">
        <f t="shared" si="1"/>
        <v>0</v>
      </c>
      <c r="M57" s="1207"/>
    </row>
    <row r="58" spans="2:13" x14ac:dyDescent="0.4">
      <c r="B58" s="1148" t="s">
        <v>1020</v>
      </c>
      <c r="C58" s="1143"/>
      <c r="D58" s="1143"/>
      <c r="E58" s="1180">
        <f t="shared" si="2"/>
        <v>0</v>
      </c>
      <c r="F58" s="1143"/>
      <c r="G58" s="1143"/>
      <c r="H58" s="1180">
        <f t="shared" si="0"/>
        <v>0</v>
      </c>
      <c r="I58" s="1143"/>
      <c r="J58" s="1143"/>
      <c r="K58" s="1195">
        <f t="shared" si="1"/>
        <v>0</v>
      </c>
      <c r="M58" s="1207"/>
    </row>
    <row r="59" spans="2:13" x14ac:dyDescent="0.4">
      <c r="B59" s="1148" t="s">
        <v>1021</v>
      </c>
      <c r="C59" s="1143"/>
      <c r="D59" s="1143"/>
      <c r="E59" s="1180">
        <f t="shared" si="2"/>
        <v>0</v>
      </c>
      <c r="F59" s="1143"/>
      <c r="G59" s="1143"/>
      <c r="H59" s="1180">
        <f t="shared" si="0"/>
        <v>0</v>
      </c>
      <c r="I59" s="1143"/>
      <c r="J59" s="1143"/>
      <c r="K59" s="1195">
        <f t="shared" si="1"/>
        <v>0</v>
      </c>
      <c r="M59" s="1207"/>
    </row>
    <row r="60" spans="2:13" x14ac:dyDescent="0.4">
      <c r="B60" s="1148" t="s">
        <v>1022</v>
      </c>
      <c r="C60" s="1143"/>
      <c r="D60" s="1143"/>
      <c r="E60" s="1180">
        <f t="shared" si="2"/>
        <v>0</v>
      </c>
      <c r="F60" s="1143"/>
      <c r="G60" s="1143"/>
      <c r="H60" s="1180">
        <f t="shared" si="0"/>
        <v>0</v>
      </c>
      <c r="I60" s="1143"/>
      <c r="J60" s="1143"/>
      <c r="K60" s="1195">
        <f t="shared" si="1"/>
        <v>0</v>
      </c>
      <c r="M60" s="1207"/>
    </row>
    <row r="61" spans="2:13" x14ac:dyDescent="0.4">
      <c r="B61" s="1148" t="s">
        <v>1023</v>
      </c>
      <c r="C61" s="1143"/>
      <c r="D61" s="1143"/>
      <c r="E61" s="1180">
        <f t="shared" si="2"/>
        <v>0</v>
      </c>
      <c r="F61" s="1143"/>
      <c r="G61" s="1143"/>
      <c r="H61" s="1180">
        <f t="shared" si="0"/>
        <v>0</v>
      </c>
      <c r="I61" s="1143"/>
      <c r="J61" s="1143"/>
      <c r="K61" s="1195">
        <f t="shared" si="1"/>
        <v>0</v>
      </c>
      <c r="M61" s="1207"/>
    </row>
    <row r="62" spans="2:13" x14ac:dyDescent="0.4">
      <c r="B62" s="1148" t="s">
        <v>1024</v>
      </c>
      <c r="C62" s="1143"/>
      <c r="D62" s="1143"/>
      <c r="E62" s="1180">
        <f t="shared" si="2"/>
        <v>0</v>
      </c>
      <c r="F62" s="1143"/>
      <c r="G62" s="1143"/>
      <c r="H62" s="1180">
        <f t="shared" si="0"/>
        <v>0</v>
      </c>
      <c r="I62" s="1143"/>
      <c r="J62" s="1143"/>
      <c r="K62" s="1195">
        <f t="shared" si="1"/>
        <v>0</v>
      </c>
      <c r="M62" s="1207"/>
    </row>
    <row r="63" spans="2:13" x14ac:dyDescent="0.4">
      <c r="B63" s="1148" t="s">
        <v>1025</v>
      </c>
      <c r="C63" s="1143"/>
      <c r="D63" s="1143"/>
      <c r="E63" s="1180">
        <f t="shared" si="2"/>
        <v>0</v>
      </c>
      <c r="F63" s="1143"/>
      <c r="G63" s="1143"/>
      <c r="H63" s="1180">
        <f t="shared" si="0"/>
        <v>0</v>
      </c>
      <c r="I63" s="1143"/>
      <c r="J63" s="1143"/>
      <c r="K63" s="1195">
        <f t="shared" si="1"/>
        <v>0</v>
      </c>
      <c r="M63" s="1207"/>
    </row>
    <row r="64" spans="2:13" x14ac:dyDescent="0.4">
      <c r="B64" s="1148" t="s">
        <v>1026</v>
      </c>
      <c r="C64" s="1143"/>
      <c r="D64" s="1143"/>
      <c r="E64" s="1180">
        <f t="shared" si="2"/>
        <v>0</v>
      </c>
      <c r="F64" s="1143"/>
      <c r="G64" s="1143"/>
      <c r="H64" s="1180">
        <f t="shared" si="0"/>
        <v>0</v>
      </c>
      <c r="I64" s="1143"/>
      <c r="J64" s="1143"/>
      <c r="K64" s="1195">
        <f t="shared" si="1"/>
        <v>0</v>
      </c>
      <c r="M64" s="1207"/>
    </row>
    <row r="65" spans="2:13" x14ac:dyDescent="0.4">
      <c r="B65" s="1148" t="s">
        <v>1027</v>
      </c>
      <c r="C65" s="1143"/>
      <c r="D65" s="1143"/>
      <c r="E65" s="1180">
        <f t="shared" si="2"/>
        <v>0</v>
      </c>
      <c r="F65" s="1143"/>
      <c r="G65" s="1143"/>
      <c r="H65" s="1180">
        <f t="shared" si="0"/>
        <v>0</v>
      </c>
      <c r="I65" s="1143"/>
      <c r="J65" s="1143"/>
      <c r="K65" s="1195">
        <f t="shared" si="1"/>
        <v>0</v>
      </c>
      <c r="M65" s="1207"/>
    </row>
    <row r="66" spans="2:13" x14ac:dyDescent="0.4">
      <c r="B66" s="1148" t="s">
        <v>1028</v>
      </c>
      <c r="C66" s="1143"/>
      <c r="D66" s="1143"/>
      <c r="E66" s="1180">
        <f t="shared" si="2"/>
        <v>0</v>
      </c>
      <c r="F66" s="1143"/>
      <c r="G66" s="1143"/>
      <c r="H66" s="1180">
        <f t="shared" si="0"/>
        <v>0</v>
      </c>
      <c r="I66" s="1143"/>
      <c r="J66" s="1143"/>
      <c r="K66" s="1195">
        <f t="shared" si="1"/>
        <v>0</v>
      </c>
      <c r="M66" s="1207"/>
    </row>
    <row r="67" spans="2:13" x14ac:dyDescent="0.4">
      <c r="B67" s="1148" t="s">
        <v>1029</v>
      </c>
      <c r="C67" s="1143"/>
      <c r="D67" s="1143"/>
      <c r="E67" s="1180">
        <f t="shared" si="2"/>
        <v>0</v>
      </c>
      <c r="F67" s="1143"/>
      <c r="G67" s="1143"/>
      <c r="H67" s="1180">
        <f t="shared" si="0"/>
        <v>0</v>
      </c>
      <c r="I67" s="1143"/>
      <c r="J67" s="1143"/>
      <c r="K67" s="1195">
        <f t="shared" si="1"/>
        <v>0</v>
      </c>
      <c r="M67" s="1207"/>
    </row>
    <row r="68" spans="2:13" x14ac:dyDescent="0.4">
      <c r="B68" s="1148" t="s">
        <v>1030</v>
      </c>
      <c r="C68" s="1143"/>
      <c r="D68" s="1143"/>
      <c r="E68" s="1180">
        <f t="shared" si="2"/>
        <v>0</v>
      </c>
      <c r="F68" s="1143"/>
      <c r="G68" s="1143"/>
      <c r="H68" s="1180">
        <f t="shared" si="0"/>
        <v>0</v>
      </c>
      <c r="I68" s="1143"/>
      <c r="J68" s="1143"/>
      <c r="K68" s="1195">
        <f t="shared" si="1"/>
        <v>0</v>
      </c>
      <c r="M68" s="1207"/>
    </row>
    <row r="69" spans="2:13" x14ac:dyDescent="0.4">
      <c r="B69" s="1148" t="s">
        <v>1031</v>
      </c>
      <c r="C69" s="1143"/>
      <c r="D69" s="1143"/>
      <c r="E69" s="1180">
        <f t="shared" si="2"/>
        <v>0</v>
      </c>
      <c r="F69" s="1143"/>
      <c r="G69" s="1143"/>
      <c r="H69" s="1180">
        <f t="shared" si="0"/>
        <v>0</v>
      </c>
      <c r="I69" s="1143"/>
      <c r="J69" s="1143"/>
      <c r="K69" s="1195">
        <f t="shared" si="1"/>
        <v>0</v>
      </c>
      <c r="M69" s="1207"/>
    </row>
    <row r="70" spans="2:13" x14ac:dyDescent="0.4">
      <c r="B70" s="1148" t="s">
        <v>1032</v>
      </c>
      <c r="C70" s="1143"/>
      <c r="D70" s="1143"/>
      <c r="E70" s="1180">
        <f t="shared" si="2"/>
        <v>0</v>
      </c>
      <c r="F70" s="1143"/>
      <c r="G70" s="1143"/>
      <c r="H70" s="1180">
        <f t="shared" si="0"/>
        <v>0</v>
      </c>
      <c r="I70" s="1143"/>
      <c r="J70" s="1143"/>
      <c r="K70" s="1195">
        <f t="shared" si="1"/>
        <v>0</v>
      </c>
      <c r="M70" s="1207"/>
    </row>
    <row r="71" spans="2:13" x14ac:dyDescent="0.4">
      <c r="B71" s="1148" t="s">
        <v>1033</v>
      </c>
      <c r="C71" s="1143"/>
      <c r="D71" s="1143"/>
      <c r="E71" s="1180">
        <f t="shared" si="2"/>
        <v>0</v>
      </c>
      <c r="F71" s="1143"/>
      <c r="G71" s="1143"/>
      <c r="H71" s="1180">
        <f t="shared" si="0"/>
        <v>0</v>
      </c>
      <c r="I71" s="1143"/>
      <c r="J71" s="1143"/>
      <c r="K71" s="1195">
        <f t="shared" si="1"/>
        <v>0</v>
      </c>
      <c r="M71" s="1207"/>
    </row>
    <row r="72" spans="2:13" x14ac:dyDescent="0.4">
      <c r="B72" s="1148" t="s">
        <v>1034</v>
      </c>
      <c r="C72" s="1143"/>
      <c r="D72" s="1143"/>
      <c r="E72" s="1180">
        <f t="shared" si="2"/>
        <v>0</v>
      </c>
      <c r="F72" s="1143"/>
      <c r="G72" s="1143"/>
      <c r="H72" s="1180">
        <f t="shared" si="0"/>
        <v>0</v>
      </c>
      <c r="I72" s="1143"/>
      <c r="J72" s="1143"/>
      <c r="K72" s="1195">
        <f t="shared" si="1"/>
        <v>0</v>
      </c>
      <c r="M72" s="1207"/>
    </row>
    <row r="73" spans="2:13" x14ac:dyDescent="0.4">
      <c r="B73" s="1148" t="s">
        <v>1035</v>
      </c>
      <c r="C73" s="1143"/>
      <c r="D73" s="1143"/>
      <c r="E73" s="1180">
        <f t="shared" si="2"/>
        <v>0</v>
      </c>
      <c r="F73" s="1143"/>
      <c r="G73" s="1143"/>
      <c r="H73" s="1180">
        <f t="shared" si="0"/>
        <v>0</v>
      </c>
      <c r="I73" s="1143"/>
      <c r="J73" s="1143"/>
      <c r="K73" s="1195">
        <f t="shared" si="1"/>
        <v>0</v>
      </c>
      <c r="M73" s="1207"/>
    </row>
    <row r="74" spans="2:13" x14ac:dyDescent="0.4">
      <c r="B74" s="1148" t="s">
        <v>1036</v>
      </c>
      <c r="C74" s="1143"/>
      <c r="D74" s="1143"/>
      <c r="E74" s="1180">
        <f t="shared" si="2"/>
        <v>0</v>
      </c>
      <c r="F74" s="1143"/>
      <c r="G74" s="1143"/>
      <c r="H74" s="1180">
        <f t="shared" si="0"/>
        <v>0</v>
      </c>
      <c r="I74" s="1143"/>
      <c r="J74" s="1143"/>
      <c r="K74" s="1195">
        <f t="shared" si="1"/>
        <v>0</v>
      </c>
      <c r="M74" s="1207"/>
    </row>
    <row r="75" spans="2:13" x14ac:dyDescent="0.4">
      <c r="B75" s="1148" t="s">
        <v>1037</v>
      </c>
      <c r="C75" s="1143"/>
      <c r="D75" s="1143"/>
      <c r="E75" s="1180">
        <f t="shared" si="2"/>
        <v>0</v>
      </c>
      <c r="F75" s="1143"/>
      <c r="G75" s="1143"/>
      <c r="H75" s="1180">
        <f t="shared" si="0"/>
        <v>0</v>
      </c>
      <c r="I75" s="1143"/>
      <c r="J75" s="1143"/>
      <c r="K75" s="1195">
        <f t="shared" si="1"/>
        <v>0</v>
      </c>
      <c r="M75" s="1207"/>
    </row>
    <row r="76" spans="2:13" x14ac:dyDescent="0.4">
      <c r="B76" s="1148" t="s">
        <v>1038</v>
      </c>
      <c r="C76" s="1143"/>
      <c r="D76" s="1143"/>
      <c r="E76" s="1180">
        <f t="shared" si="2"/>
        <v>0</v>
      </c>
      <c r="F76" s="1143"/>
      <c r="G76" s="1143"/>
      <c r="H76" s="1180">
        <f t="shared" si="0"/>
        <v>0</v>
      </c>
      <c r="I76" s="1143"/>
      <c r="J76" s="1143"/>
      <c r="K76" s="1195">
        <f t="shared" si="1"/>
        <v>0</v>
      </c>
      <c r="M76" s="1207"/>
    </row>
    <row r="77" spans="2:13" x14ac:dyDescent="0.4">
      <c r="B77" s="1148" t="s">
        <v>1039</v>
      </c>
      <c r="C77" s="1143"/>
      <c r="D77" s="1143"/>
      <c r="E77" s="1180">
        <f t="shared" si="2"/>
        <v>0</v>
      </c>
      <c r="F77" s="1143"/>
      <c r="G77" s="1143"/>
      <c r="H77" s="1180">
        <f t="shared" si="0"/>
        <v>0</v>
      </c>
      <c r="I77" s="1143"/>
      <c r="J77" s="1143"/>
      <c r="K77" s="1195">
        <f t="shared" si="1"/>
        <v>0</v>
      </c>
      <c r="M77" s="1207"/>
    </row>
    <row r="78" spans="2:13" x14ac:dyDescent="0.4">
      <c r="B78" s="1148" t="s">
        <v>1040</v>
      </c>
      <c r="C78" s="1143"/>
      <c r="D78" s="1143"/>
      <c r="E78" s="1180">
        <f t="shared" si="2"/>
        <v>0</v>
      </c>
      <c r="F78" s="1143"/>
      <c r="G78" s="1143"/>
      <c r="H78" s="1180">
        <f t="shared" si="0"/>
        <v>0</v>
      </c>
      <c r="I78" s="1143"/>
      <c r="J78" s="1143"/>
      <c r="K78" s="1195">
        <f t="shared" si="1"/>
        <v>0</v>
      </c>
      <c r="M78" s="1207"/>
    </row>
    <row r="79" spans="2:13" x14ac:dyDescent="0.4">
      <c r="B79" s="1148" t="s">
        <v>1041</v>
      </c>
      <c r="C79" s="1143"/>
      <c r="D79" s="1143"/>
      <c r="E79" s="1180">
        <f t="shared" si="2"/>
        <v>0</v>
      </c>
      <c r="F79" s="1143"/>
      <c r="G79" s="1143"/>
      <c r="H79" s="1180">
        <f t="shared" si="0"/>
        <v>0</v>
      </c>
      <c r="I79" s="1143"/>
      <c r="J79" s="1143"/>
      <c r="K79" s="1195">
        <f t="shared" si="1"/>
        <v>0</v>
      </c>
      <c r="M79" s="1207"/>
    </row>
    <row r="80" spans="2:13" x14ac:dyDescent="0.4">
      <c r="B80" s="1148" t="s">
        <v>1042</v>
      </c>
      <c r="C80" s="1143"/>
      <c r="D80" s="1143"/>
      <c r="E80" s="1180">
        <f t="shared" si="2"/>
        <v>0</v>
      </c>
      <c r="F80" s="1143"/>
      <c r="G80" s="1143"/>
      <c r="H80" s="1180">
        <f t="shared" si="0"/>
        <v>0</v>
      </c>
      <c r="I80" s="1143"/>
      <c r="J80" s="1143"/>
      <c r="K80" s="1195">
        <f t="shared" si="1"/>
        <v>0</v>
      </c>
      <c r="M80" s="1207"/>
    </row>
    <row r="81" spans="2:13" x14ac:dyDescent="0.4">
      <c r="B81" s="1148" t="s">
        <v>1043</v>
      </c>
      <c r="C81" s="1143"/>
      <c r="D81" s="1143"/>
      <c r="E81" s="1180">
        <f t="shared" si="2"/>
        <v>0</v>
      </c>
      <c r="F81" s="1143"/>
      <c r="G81" s="1143"/>
      <c r="H81" s="1180">
        <f t="shared" si="0"/>
        <v>0</v>
      </c>
      <c r="I81" s="1143"/>
      <c r="J81" s="1143"/>
      <c r="K81" s="1195">
        <f t="shared" si="1"/>
        <v>0</v>
      </c>
      <c r="M81" s="1207"/>
    </row>
    <row r="82" spans="2:13" x14ac:dyDescent="0.4">
      <c r="B82" s="1148" t="s">
        <v>1044</v>
      </c>
      <c r="C82" s="1143"/>
      <c r="D82" s="1143"/>
      <c r="E82" s="1180">
        <f t="shared" si="2"/>
        <v>0</v>
      </c>
      <c r="F82" s="1143"/>
      <c r="G82" s="1143"/>
      <c r="H82" s="1180">
        <f t="shared" si="0"/>
        <v>0</v>
      </c>
      <c r="I82" s="1143"/>
      <c r="J82" s="1143"/>
      <c r="K82" s="1195">
        <f t="shared" si="1"/>
        <v>0</v>
      </c>
      <c r="M82" s="1207"/>
    </row>
    <row r="83" spans="2:13" x14ac:dyDescent="0.4">
      <c r="B83" s="1148" t="s">
        <v>1045</v>
      </c>
      <c r="C83" s="1143"/>
      <c r="D83" s="1143"/>
      <c r="E83" s="1180">
        <f t="shared" si="2"/>
        <v>0</v>
      </c>
      <c r="F83" s="1143"/>
      <c r="G83" s="1143"/>
      <c r="H83" s="1180">
        <f t="shared" si="0"/>
        <v>0</v>
      </c>
      <c r="I83" s="1143"/>
      <c r="J83" s="1143"/>
      <c r="K83" s="1195">
        <f t="shared" si="1"/>
        <v>0</v>
      </c>
      <c r="M83" s="1207"/>
    </row>
    <row r="84" spans="2:13" x14ac:dyDescent="0.4">
      <c r="B84" s="1148" t="s">
        <v>1046</v>
      </c>
      <c r="C84" s="1143"/>
      <c r="D84" s="1143"/>
      <c r="E84" s="1180">
        <f t="shared" si="2"/>
        <v>0</v>
      </c>
      <c r="F84" s="1143"/>
      <c r="G84" s="1143"/>
      <c r="H84" s="1180">
        <f t="shared" ref="H84:H115" si="3">F84*(G84-$J$22)</f>
        <v>0</v>
      </c>
      <c r="I84" s="1143"/>
      <c r="J84" s="1143"/>
      <c r="K84" s="1195">
        <f t="shared" ref="K84:K115" si="4">I84*(J84-$J$22)</f>
        <v>0</v>
      </c>
      <c r="M84" s="1207"/>
    </row>
    <row r="85" spans="2:13" x14ac:dyDescent="0.4">
      <c r="B85" s="1148" t="s">
        <v>1047</v>
      </c>
      <c r="C85" s="1143"/>
      <c r="D85" s="1143"/>
      <c r="E85" s="1180">
        <f t="shared" ref="E85:E116" si="5">C85*(D85-$J$22)</f>
        <v>0</v>
      </c>
      <c r="F85" s="1143"/>
      <c r="G85" s="1143"/>
      <c r="H85" s="1180">
        <f t="shared" si="3"/>
        <v>0</v>
      </c>
      <c r="I85" s="1143"/>
      <c r="J85" s="1143"/>
      <c r="K85" s="1195">
        <f t="shared" si="4"/>
        <v>0</v>
      </c>
      <c r="M85" s="1207"/>
    </row>
    <row r="86" spans="2:13" x14ac:dyDescent="0.4">
      <c r="B86" s="1148" t="s">
        <v>1048</v>
      </c>
      <c r="C86" s="1143"/>
      <c r="D86" s="1143"/>
      <c r="E86" s="1180">
        <f t="shared" si="5"/>
        <v>0</v>
      </c>
      <c r="F86" s="1143"/>
      <c r="G86" s="1143"/>
      <c r="H86" s="1180">
        <f t="shared" si="3"/>
        <v>0</v>
      </c>
      <c r="I86" s="1143"/>
      <c r="J86" s="1143"/>
      <c r="K86" s="1195">
        <f t="shared" si="4"/>
        <v>0</v>
      </c>
      <c r="M86" s="1207"/>
    </row>
    <row r="87" spans="2:13" x14ac:dyDescent="0.4">
      <c r="B87" s="1148" t="s">
        <v>1049</v>
      </c>
      <c r="C87" s="1143"/>
      <c r="D87" s="1143"/>
      <c r="E87" s="1180">
        <f t="shared" si="5"/>
        <v>0</v>
      </c>
      <c r="F87" s="1143"/>
      <c r="G87" s="1143"/>
      <c r="H87" s="1180">
        <f t="shared" si="3"/>
        <v>0</v>
      </c>
      <c r="I87" s="1143"/>
      <c r="J87" s="1143"/>
      <c r="K87" s="1195">
        <f t="shared" si="4"/>
        <v>0</v>
      </c>
      <c r="M87" s="1207"/>
    </row>
    <row r="88" spans="2:13" x14ac:dyDescent="0.4">
      <c r="B88" s="1148" t="s">
        <v>1050</v>
      </c>
      <c r="C88" s="1143"/>
      <c r="D88" s="1143"/>
      <c r="E88" s="1180">
        <f t="shared" si="5"/>
        <v>0</v>
      </c>
      <c r="F88" s="1143"/>
      <c r="G88" s="1143"/>
      <c r="H88" s="1180">
        <f t="shared" si="3"/>
        <v>0</v>
      </c>
      <c r="I88" s="1143"/>
      <c r="J88" s="1143"/>
      <c r="K88" s="1195">
        <f t="shared" si="4"/>
        <v>0</v>
      </c>
      <c r="M88" s="1207"/>
    </row>
    <row r="89" spans="2:13" x14ac:dyDescent="0.4">
      <c r="B89" s="1148" t="s">
        <v>1051</v>
      </c>
      <c r="C89" s="1143"/>
      <c r="D89" s="1143"/>
      <c r="E89" s="1180">
        <f t="shared" si="5"/>
        <v>0</v>
      </c>
      <c r="F89" s="1143"/>
      <c r="G89" s="1143"/>
      <c r="H89" s="1180">
        <f t="shared" si="3"/>
        <v>0</v>
      </c>
      <c r="I89" s="1143"/>
      <c r="J89" s="1143"/>
      <c r="K89" s="1195">
        <f t="shared" si="4"/>
        <v>0</v>
      </c>
      <c r="M89" s="1207"/>
    </row>
    <row r="90" spans="2:13" x14ac:dyDescent="0.4">
      <c r="B90" s="1148" t="s">
        <v>1052</v>
      </c>
      <c r="C90" s="1143"/>
      <c r="D90" s="1143"/>
      <c r="E90" s="1180">
        <f t="shared" si="5"/>
        <v>0</v>
      </c>
      <c r="F90" s="1143"/>
      <c r="G90" s="1143"/>
      <c r="H90" s="1180">
        <f t="shared" si="3"/>
        <v>0</v>
      </c>
      <c r="I90" s="1143"/>
      <c r="J90" s="1143"/>
      <c r="K90" s="1195">
        <f t="shared" si="4"/>
        <v>0</v>
      </c>
      <c r="M90" s="1207"/>
    </row>
    <row r="91" spans="2:13" x14ac:dyDescent="0.4">
      <c r="B91" s="1148" t="s">
        <v>1053</v>
      </c>
      <c r="C91" s="1143"/>
      <c r="D91" s="1143"/>
      <c r="E91" s="1180">
        <f t="shared" si="5"/>
        <v>0</v>
      </c>
      <c r="F91" s="1143"/>
      <c r="G91" s="1143"/>
      <c r="H91" s="1180">
        <f t="shared" si="3"/>
        <v>0</v>
      </c>
      <c r="I91" s="1143"/>
      <c r="J91" s="1143"/>
      <c r="K91" s="1195">
        <f t="shared" si="4"/>
        <v>0</v>
      </c>
      <c r="M91" s="1207"/>
    </row>
    <row r="92" spans="2:13" x14ac:dyDescent="0.4">
      <c r="B92" s="1148" t="s">
        <v>1054</v>
      </c>
      <c r="C92" s="1143"/>
      <c r="D92" s="1143"/>
      <c r="E92" s="1180">
        <f t="shared" si="5"/>
        <v>0</v>
      </c>
      <c r="F92" s="1143"/>
      <c r="G92" s="1143"/>
      <c r="H92" s="1180">
        <f t="shared" si="3"/>
        <v>0</v>
      </c>
      <c r="I92" s="1143"/>
      <c r="J92" s="1143"/>
      <c r="K92" s="1195">
        <f t="shared" si="4"/>
        <v>0</v>
      </c>
      <c r="M92" s="1207"/>
    </row>
    <row r="93" spans="2:13" x14ac:dyDescent="0.4">
      <c r="B93" s="1148" t="s">
        <v>1055</v>
      </c>
      <c r="C93" s="1143"/>
      <c r="D93" s="1143"/>
      <c r="E93" s="1180">
        <f t="shared" si="5"/>
        <v>0</v>
      </c>
      <c r="F93" s="1143"/>
      <c r="G93" s="1143"/>
      <c r="H93" s="1180">
        <f t="shared" si="3"/>
        <v>0</v>
      </c>
      <c r="I93" s="1143"/>
      <c r="J93" s="1143"/>
      <c r="K93" s="1195">
        <f t="shared" si="4"/>
        <v>0</v>
      </c>
      <c r="M93" s="1207"/>
    </row>
    <row r="94" spans="2:13" x14ac:dyDescent="0.4">
      <c r="B94" s="1148" t="s">
        <v>1056</v>
      </c>
      <c r="C94" s="1143"/>
      <c r="D94" s="1143"/>
      <c r="E94" s="1180">
        <f t="shared" si="5"/>
        <v>0</v>
      </c>
      <c r="F94" s="1143"/>
      <c r="G94" s="1143"/>
      <c r="H94" s="1180">
        <f t="shared" si="3"/>
        <v>0</v>
      </c>
      <c r="I94" s="1143"/>
      <c r="J94" s="1143"/>
      <c r="K94" s="1195">
        <f t="shared" si="4"/>
        <v>0</v>
      </c>
      <c r="M94" s="1207"/>
    </row>
    <row r="95" spans="2:13" x14ac:dyDescent="0.4">
      <c r="B95" s="1148" t="s">
        <v>1057</v>
      </c>
      <c r="C95" s="1143"/>
      <c r="D95" s="1143"/>
      <c r="E95" s="1180">
        <f t="shared" si="5"/>
        <v>0</v>
      </c>
      <c r="F95" s="1143"/>
      <c r="G95" s="1143"/>
      <c r="H95" s="1180">
        <f t="shared" si="3"/>
        <v>0</v>
      </c>
      <c r="I95" s="1143"/>
      <c r="J95" s="1143"/>
      <c r="K95" s="1195">
        <f t="shared" si="4"/>
        <v>0</v>
      </c>
      <c r="M95" s="1207"/>
    </row>
    <row r="96" spans="2:13" x14ac:dyDescent="0.4">
      <c r="B96" s="1148" t="s">
        <v>1058</v>
      </c>
      <c r="C96" s="1143"/>
      <c r="D96" s="1143"/>
      <c r="E96" s="1180">
        <f t="shared" si="5"/>
        <v>0</v>
      </c>
      <c r="F96" s="1143"/>
      <c r="G96" s="1143"/>
      <c r="H96" s="1180">
        <f t="shared" si="3"/>
        <v>0</v>
      </c>
      <c r="I96" s="1143"/>
      <c r="J96" s="1143"/>
      <c r="K96" s="1195">
        <f t="shared" si="4"/>
        <v>0</v>
      </c>
      <c r="M96" s="1207"/>
    </row>
    <row r="97" spans="2:13" x14ac:dyDescent="0.4">
      <c r="B97" s="1148" t="s">
        <v>1059</v>
      </c>
      <c r="C97" s="1143"/>
      <c r="D97" s="1143"/>
      <c r="E97" s="1180">
        <f t="shared" si="5"/>
        <v>0</v>
      </c>
      <c r="F97" s="1143"/>
      <c r="G97" s="1143"/>
      <c r="H97" s="1180">
        <f t="shared" si="3"/>
        <v>0</v>
      </c>
      <c r="I97" s="1143"/>
      <c r="J97" s="1143"/>
      <c r="K97" s="1195">
        <f t="shared" si="4"/>
        <v>0</v>
      </c>
      <c r="M97" s="1207"/>
    </row>
    <row r="98" spans="2:13" x14ac:dyDescent="0.4">
      <c r="B98" s="1148" t="s">
        <v>1060</v>
      </c>
      <c r="C98" s="1143"/>
      <c r="D98" s="1143"/>
      <c r="E98" s="1180">
        <f t="shared" si="5"/>
        <v>0</v>
      </c>
      <c r="F98" s="1143"/>
      <c r="G98" s="1143"/>
      <c r="H98" s="1180">
        <f t="shared" si="3"/>
        <v>0</v>
      </c>
      <c r="I98" s="1143"/>
      <c r="J98" s="1143"/>
      <c r="K98" s="1195">
        <f t="shared" si="4"/>
        <v>0</v>
      </c>
      <c r="M98" s="1207"/>
    </row>
    <row r="99" spans="2:13" x14ac:dyDescent="0.4">
      <c r="B99" s="1148" t="s">
        <v>1061</v>
      </c>
      <c r="C99" s="1143"/>
      <c r="D99" s="1143"/>
      <c r="E99" s="1180">
        <f t="shared" si="5"/>
        <v>0</v>
      </c>
      <c r="F99" s="1143"/>
      <c r="G99" s="1143"/>
      <c r="H99" s="1180">
        <f t="shared" si="3"/>
        <v>0</v>
      </c>
      <c r="I99" s="1143"/>
      <c r="J99" s="1143"/>
      <c r="K99" s="1195">
        <f t="shared" si="4"/>
        <v>0</v>
      </c>
      <c r="M99" s="1207"/>
    </row>
    <row r="100" spans="2:13" x14ac:dyDescent="0.4">
      <c r="B100" s="1148" t="s">
        <v>1062</v>
      </c>
      <c r="C100" s="1143"/>
      <c r="D100" s="1143"/>
      <c r="E100" s="1180">
        <f t="shared" si="5"/>
        <v>0</v>
      </c>
      <c r="F100" s="1143"/>
      <c r="G100" s="1143"/>
      <c r="H100" s="1180">
        <f t="shared" si="3"/>
        <v>0</v>
      </c>
      <c r="I100" s="1143"/>
      <c r="J100" s="1143"/>
      <c r="K100" s="1195">
        <f t="shared" si="4"/>
        <v>0</v>
      </c>
      <c r="M100" s="1207"/>
    </row>
    <row r="101" spans="2:13" x14ac:dyDescent="0.4">
      <c r="B101" s="1148" t="s">
        <v>1063</v>
      </c>
      <c r="C101" s="1143"/>
      <c r="D101" s="1143"/>
      <c r="E101" s="1180">
        <f t="shared" si="5"/>
        <v>0</v>
      </c>
      <c r="F101" s="1143"/>
      <c r="G101" s="1143"/>
      <c r="H101" s="1180">
        <f t="shared" si="3"/>
        <v>0</v>
      </c>
      <c r="I101" s="1143"/>
      <c r="J101" s="1143"/>
      <c r="K101" s="1195">
        <f t="shared" si="4"/>
        <v>0</v>
      </c>
      <c r="M101" s="1207"/>
    </row>
    <row r="102" spans="2:13" x14ac:dyDescent="0.4">
      <c r="B102" s="1148" t="s">
        <v>1064</v>
      </c>
      <c r="C102" s="1143"/>
      <c r="D102" s="1143"/>
      <c r="E102" s="1180">
        <f t="shared" si="5"/>
        <v>0</v>
      </c>
      <c r="F102" s="1143"/>
      <c r="G102" s="1143"/>
      <c r="H102" s="1180">
        <f t="shared" si="3"/>
        <v>0</v>
      </c>
      <c r="I102" s="1143"/>
      <c r="J102" s="1143"/>
      <c r="K102" s="1195">
        <f t="shared" si="4"/>
        <v>0</v>
      </c>
      <c r="M102" s="1207"/>
    </row>
    <row r="103" spans="2:13" x14ac:dyDescent="0.4">
      <c r="B103" s="1148" t="s">
        <v>1065</v>
      </c>
      <c r="C103" s="1143"/>
      <c r="D103" s="1143"/>
      <c r="E103" s="1180">
        <f t="shared" si="5"/>
        <v>0</v>
      </c>
      <c r="F103" s="1143"/>
      <c r="G103" s="1143"/>
      <c r="H103" s="1180">
        <f t="shared" si="3"/>
        <v>0</v>
      </c>
      <c r="I103" s="1143"/>
      <c r="J103" s="1143"/>
      <c r="K103" s="1195">
        <f t="shared" si="4"/>
        <v>0</v>
      </c>
      <c r="M103" s="1207"/>
    </row>
    <row r="104" spans="2:13" x14ac:dyDescent="0.4">
      <c r="B104" s="1148" t="s">
        <v>1066</v>
      </c>
      <c r="C104" s="1143"/>
      <c r="D104" s="1143"/>
      <c r="E104" s="1180">
        <f t="shared" si="5"/>
        <v>0</v>
      </c>
      <c r="F104" s="1143"/>
      <c r="G104" s="1143"/>
      <c r="H104" s="1180">
        <f t="shared" si="3"/>
        <v>0</v>
      </c>
      <c r="I104" s="1143"/>
      <c r="J104" s="1143"/>
      <c r="K104" s="1195">
        <f t="shared" si="4"/>
        <v>0</v>
      </c>
      <c r="M104" s="1207"/>
    </row>
    <row r="105" spans="2:13" x14ac:dyDescent="0.4">
      <c r="B105" s="1148" t="s">
        <v>1067</v>
      </c>
      <c r="C105" s="1143"/>
      <c r="D105" s="1143"/>
      <c r="E105" s="1180">
        <f t="shared" si="5"/>
        <v>0</v>
      </c>
      <c r="F105" s="1143"/>
      <c r="G105" s="1143"/>
      <c r="H105" s="1180">
        <f t="shared" si="3"/>
        <v>0</v>
      </c>
      <c r="I105" s="1143"/>
      <c r="J105" s="1143"/>
      <c r="K105" s="1195">
        <f t="shared" si="4"/>
        <v>0</v>
      </c>
      <c r="M105" s="1207"/>
    </row>
    <row r="106" spans="2:13" x14ac:dyDescent="0.4">
      <c r="B106" s="1148" t="s">
        <v>1068</v>
      </c>
      <c r="C106" s="1143"/>
      <c r="D106" s="1143"/>
      <c r="E106" s="1180">
        <f t="shared" si="5"/>
        <v>0</v>
      </c>
      <c r="F106" s="1143"/>
      <c r="G106" s="1143"/>
      <c r="H106" s="1180">
        <f t="shared" si="3"/>
        <v>0</v>
      </c>
      <c r="I106" s="1143"/>
      <c r="J106" s="1143"/>
      <c r="K106" s="1195">
        <f t="shared" si="4"/>
        <v>0</v>
      </c>
      <c r="M106" s="1207"/>
    </row>
    <row r="107" spans="2:13" x14ac:dyDescent="0.4">
      <c r="B107" s="1148" t="s">
        <v>1069</v>
      </c>
      <c r="C107" s="1143"/>
      <c r="D107" s="1143"/>
      <c r="E107" s="1180">
        <f t="shared" si="5"/>
        <v>0</v>
      </c>
      <c r="F107" s="1143"/>
      <c r="G107" s="1143"/>
      <c r="H107" s="1180">
        <f t="shared" si="3"/>
        <v>0</v>
      </c>
      <c r="I107" s="1143"/>
      <c r="J107" s="1143"/>
      <c r="K107" s="1195">
        <f t="shared" si="4"/>
        <v>0</v>
      </c>
      <c r="M107" s="1207"/>
    </row>
    <row r="108" spans="2:13" x14ac:dyDescent="0.4">
      <c r="B108" s="1148" t="s">
        <v>1070</v>
      </c>
      <c r="C108" s="1143"/>
      <c r="D108" s="1143"/>
      <c r="E108" s="1180">
        <f t="shared" si="5"/>
        <v>0</v>
      </c>
      <c r="F108" s="1143"/>
      <c r="G108" s="1143"/>
      <c r="H108" s="1180">
        <f t="shared" si="3"/>
        <v>0</v>
      </c>
      <c r="I108" s="1143"/>
      <c r="J108" s="1143"/>
      <c r="K108" s="1195">
        <f t="shared" si="4"/>
        <v>0</v>
      </c>
      <c r="M108" s="1207"/>
    </row>
    <row r="109" spans="2:13" x14ac:dyDescent="0.4">
      <c r="B109" s="1148" t="s">
        <v>1071</v>
      </c>
      <c r="C109" s="1143"/>
      <c r="D109" s="1143"/>
      <c r="E109" s="1180">
        <f t="shared" si="5"/>
        <v>0</v>
      </c>
      <c r="F109" s="1143"/>
      <c r="G109" s="1143"/>
      <c r="H109" s="1180">
        <f t="shared" si="3"/>
        <v>0</v>
      </c>
      <c r="I109" s="1143"/>
      <c r="J109" s="1143"/>
      <c r="K109" s="1195">
        <f t="shared" si="4"/>
        <v>0</v>
      </c>
      <c r="M109" s="1207"/>
    </row>
    <row r="110" spans="2:13" x14ac:dyDescent="0.4">
      <c r="B110" s="1148" t="s">
        <v>1072</v>
      </c>
      <c r="C110" s="1143"/>
      <c r="D110" s="1143"/>
      <c r="E110" s="1180">
        <f t="shared" si="5"/>
        <v>0</v>
      </c>
      <c r="F110" s="1143"/>
      <c r="G110" s="1143"/>
      <c r="H110" s="1180">
        <f t="shared" si="3"/>
        <v>0</v>
      </c>
      <c r="I110" s="1143"/>
      <c r="J110" s="1143"/>
      <c r="K110" s="1195">
        <f t="shared" si="4"/>
        <v>0</v>
      </c>
      <c r="M110" s="1207"/>
    </row>
    <row r="111" spans="2:13" x14ac:dyDescent="0.4">
      <c r="B111" s="1148" t="s">
        <v>1073</v>
      </c>
      <c r="C111" s="1143"/>
      <c r="D111" s="1143"/>
      <c r="E111" s="1180">
        <f t="shared" si="5"/>
        <v>0</v>
      </c>
      <c r="F111" s="1143"/>
      <c r="G111" s="1143"/>
      <c r="H111" s="1180">
        <f t="shared" si="3"/>
        <v>0</v>
      </c>
      <c r="I111" s="1143"/>
      <c r="J111" s="1143"/>
      <c r="K111" s="1195">
        <f t="shared" si="4"/>
        <v>0</v>
      </c>
      <c r="M111" s="1207"/>
    </row>
    <row r="112" spans="2:13" x14ac:dyDescent="0.4">
      <c r="B112" s="1148" t="s">
        <v>1074</v>
      </c>
      <c r="C112" s="1143"/>
      <c r="D112" s="1143"/>
      <c r="E112" s="1180">
        <f t="shared" si="5"/>
        <v>0</v>
      </c>
      <c r="F112" s="1143"/>
      <c r="G112" s="1143"/>
      <c r="H112" s="1180">
        <f t="shared" si="3"/>
        <v>0</v>
      </c>
      <c r="I112" s="1143"/>
      <c r="J112" s="1143"/>
      <c r="K112" s="1195">
        <f t="shared" si="4"/>
        <v>0</v>
      </c>
      <c r="M112" s="1207"/>
    </row>
    <row r="113" spans="2:13" x14ac:dyDescent="0.4">
      <c r="B113" s="1148" t="s">
        <v>1075</v>
      </c>
      <c r="C113" s="1143"/>
      <c r="D113" s="1143"/>
      <c r="E113" s="1180">
        <f t="shared" si="5"/>
        <v>0</v>
      </c>
      <c r="F113" s="1143"/>
      <c r="G113" s="1143"/>
      <c r="H113" s="1180">
        <f t="shared" si="3"/>
        <v>0</v>
      </c>
      <c r="I113" s="1143"/>
      <c r="J113" s="1143"/>
      <c r="K113" s="1195">
        <f t="shared" si="4"/>
        <v>0</v>
      </c>
      <c r="M113" s="1207"/>
    </row>
    <row r="114" spans="2:13" x14ac:dyDescent="0.4">
      <c r="B114" s="1148" t="s">
        <v>1076</v>
      </c>
      <c r="C114" s="1143"/>
      <c r="D114" s="1143"/>
      <c r="E114" s="1180">
        <f t="shared" si="5"/>
        <v>0</v>
      </c>
      <c r="F114" s="1143"/>
      <c r="G114" s="1143"/>
      <c r="H114" s="1180">
        <f t="shared" si="3"/>
        <v>0</v>
      </c>
      <c r="I114" s="1143"/>
      <c r="J114" s="1143"/>
      <c r="K114" s="1195">
        <f t="shared" si="4"/>
        <v>0</v>
      </c>
      <c r="M114" s="1207"/>
    </row>
    <row r="115" spans="2:13" x14ac:dyDescent="0.4">
      <c r="B115" s="1148" t="s">
        <v>1077</v>
      </c>
      <c r="C115" s="1143"/>
      <c r="D115" s="1143"/>
      <c r="E115" s="1180">
        <f t="shared" si="5"/>
        <v>0</v>
      </c>
      <c r="F115" s="1143"/>
      <c r="G115" s="1143"/>
      <c r="H115" s="1180">
        <f t="shared" si="3"/>
        <v>0</v>
      </c>
      <c r="I115" s="1143"/>
      <c r="J115" s="1143"/>
      <c r="K115" s="1195">
        <f t="shared" si="4"/>
        <v>0</v>
      </c>
      <c r="M115" s="1207"/>
    </row>
    <row r="116" spans="2:13" x14ac:dyDescent="0.4">
      <c r="B116" s="1148" t="s">
        <v>1078</v>
      </c>
      <c r="C116" s="1143"/>
      <c r="D116" s="1143"/>
      <c r="E116" s="1180">
        <f t="shared" si="5"/>
        <v>0</v>
      </c>
      <c r="F116" s="1143"/>
      <c r="G116" s="1143"/>
      <c r="H116" s="1180">
        <f t="shared" ref="H116:H147" si="6">F116*(G116-$J$22)</f>
        <v>0</v>
      </c>
      <c r="I116" s="1143"/>
      <c r="J116" s="1143"/>
      <c r="K116" s="1195">
        <f t="shared" ref="K116:K147" si="7">I116*(J116-$J$22)</f>
        <v>0</v>
      </c>
      <c r="M116" s="1207"/>
    </row>
    <row r="117" spans="2:13" x14ac:dyDescent="0.4">
      <c r="B117" s="1148" t="s">
        <v>1079</v>
      </c>
      <c r="C117" s="1143"/>
      <c r="D117" s="1143"/>
      <c r="E117" s="1180">
        <f t="shared" ref="E117:E148" si="8">C117*(D117-$J$22)</f>
        <v>0</v>
      </c>
      <c r="F117" s="1143"/>
      <c r="G117" s="1143"/>
      <c r="H117" s="1180">
        <f t="shared" si="6"/>
        <v>0</v>
      </c>
      <c r="I117" s="1143"/>
      <c r="J117" s="1143"/>
      <c r="K117" s="1195">
        <f t="shared" si="7"/>
        <v>0</v>
      </c>
      <c r="M117" s="1207"/>
    </row>
    <row r="118" spans="2:13" x14ac:dyDescent="0.4">
      <c r="B118" s="1148" t="s">
        <v>1080</v>
      </c>
      <c r="C118" s="1143"/>
      <c r="D118" s="1143"/>
      <c r="E118" s="1180">
        <f t="shared" si="8"/>
        <v>0</v>
      </c>
      <c r="F118" s="1143"/>
      <c r="G118" s="1143"/>
      <c r="H118" s="1180">
        <f t="shared" si="6"/>
        <v>0</v>
      </c>
      <c r="I118" s="1143"/>
      <c r="J118" s="1143"/>
      <c r="K118" s="1195">
        <f t="shared" si="7"/>
        <v>0</v>
      </c>
      <c r="M118" s="1207"/>
    </row>
    <row r="119" spans="2:13" x14ac:dyDescent="0.4">
      <c r="B119" s="1148" t="s">
        <v>1081</v>
      </c>
      <c r="C119" s="1143"/>
      <c r="D119" s="1143"/>
      <c r="E119" s="1180">
        <f t="shared" si="8"/>
        <v>0</v>
      </c>
      <c r="F119" s="1143"/>
      <c r="G119" s="1143"/>
      <c r="H119" s="1180">
        <f t="shared" si="6"/>
        <v>0</v>
      </c>
      <c r="I119" s="1143"/>
      <c r="J119" s="1143"/>
      <c r="K119" s="1195">
        <f t="shared" si="7"/>
        <v>0</v>
      </c>
      <c r="M119" s="1207"/>
    </row>
    <row r="120" spans="2:13" x14ac:dyDescent="0.4">
      <c r="B120" s="1148" t="s">
        <v>1082</v>
      </c>
      <c r="C120" s="1143"/>
      <c r="D120" s="1143"/>
      <c r="E120" s="1180">
        <f t="shared" si="8"/>
        <v>0</v>
      </c>
      <c r="F120" s="1143"/>
      <c r="G120" s="1143"/>
      <c r="H120" s="1180">
        <f t="shared" si="6"/>
        <v>0</v>
      </c>
      <c r="I120" s="1143"/>
      <c r="J120" s="1143"/>
      <c r="K120" s="1195">
        <f t="shared" si="7"/>
        <v>0</v>
      </c>
      <c r="M120" s="1207"/>
    </row>
    <row r="121" spans="2:13" x14ac:dyDescent="0.4">
      <c r="B121" s="1148" t="s">
        <v>1083</v>
      </c>
      <c r="C121" s="1143"/>
      <c r="D121" s="1143"/>
      <c r="E121" s="1180">
        <f t="shared" si="8"/>
        <v>0</v>
      </c>
      <c r="F121" s="1143"/>
      <c r="G121" s="1143"/>
      <c r="H121" s="1180">
        <f t="shared" si="6"/>
        <v>0</v>
      </c>
      <c r="I121" s="1143"/>
      <c r="J121" s="1143"/>
      <c r="K121" s="1195">
        <f t="shared" si="7"/>
        <v>0</v>
      </c>
      <c r="M121" s="1207"/>
    </row>
    <row r="122" spans="2:13" x14ac:dyDescent="0.4">
      <c r="B122" s="1148" t="s">
        <v>1084</v>
      </c>
      <c r="C122" s="1143"/>
      <c r="D122" s="1143"/>
      <c r="E122" s="1180">
        <f t="shared" si="8"/>
        <v>0</v>
      </c>
      <c r="F122" s="1143"/>
      <c r="G122" s="1143"/>
      <c r="H122" s="1180">
        <f t="shared" si="6"/>
        <v>0</v>
      </c>
      <c r="I122" s="1143"/>
      <c r="J122" s="1143"/>
      <c r="K122" s="1195">
        <f t="shared" si="7"/>
        <v>0</v>
      </c>
      <c r="M122" s="1207"/>
    </row>
    <row r="123" spans="2:13" x14ac:dyDescent="0.4">
      <c r="B123" s="1148" t="s">
        <v>1085</v>
      </c>
      <c r="C123" s="1143"/>
      <c r="D123" s="1143"/>
      <c r="E123" s="1180">
        <f t="shared" si="8"/>
        <v>0</v>
      </c>
      <c r="F123" s="1143"/>
      <c r="G123" s="1143"/>
      <c r="H123" s="1180">
        <f t="shared" si="6"/>
        <v>0</v>
      </c>
      <c r="I123" s="1143"/>
      <c r="J123" s="1143"/>
      <c r="K123" s="1195">
        <f t="shared" si="7"/>
        <v>0</v>
      </c>
      <c r="M123" s="1207"/>
    </row>
    <row r="124" spans="2:13" x14ac:dyDescent="0.4">
      <c r="B124" s="1148" t="s">
        <v>1086</v>
      </c>
      <c r="C124" s="1143"/>
      <c r="D124" s="1143"/>
      <c r="E124" s="1180">
        <f t="shared" si="8"/>
        <v>0</v>
      </c>
      <c r="F124" s="1143"/>
      <c r="G124" s="1143"/>
      <c r="H124" s="1180">
        <f t="shared" si="6"/>
        <v>0</v>
      </c>
      <c r="I124" s="1143"/>
      <c r="J124" s="1143"/>
      <c r="K124" s="1195">
        <f t="shared" si="7"/>
        <v>0</v>
      </c>
      <c r="M124" s="1207"/>
    </row>
    <row r="125" spans="2:13" x14ac:dyDescent="0.4">
      <c r="B125" s="1148" t="s">
        <v>1087</v>
      </c>
      <c r="C125" s="1143"/>
      <c r="D125" s="1143"/>
      <c r="E125" s="1180">
        <f t="shared" si="8"/>
        <v>0</v>
      </c>
      <c r="F125" s="1143"/>
      <c r="G125" s="1143"/>
      <c r="H125" s="1180">
        <f t="shared" si="6"/>
        <v>0</v>
      </c>
      <c r="I125" s="1143"/>
      <c r="J125" s="1143"/>
      <c r="K125" s="1195">
        <f t="shared" si="7"/>
        <v>0</v>
      </c>
      <c r="M125" s="1207"/>
    </row>
    <row r="126" spans="2:13" x14ac:dyDescent="0.4">
      <c r="B126" s="1148" t="s">
        <v>1088</v>
      </c>
      <c r="C126" s="1143"/>
      <c r="D126" s="1143"/>
      <c r="E126" s="1180">
        <f t="shared" si="8"/>
        <v>0</v>
      </c>
      <c r="F126" s="1143"/>
      <c r="G126" s="1143"/>
      <c r="H126" s="1180">
        <f t="shared" si="6"/>
        <v>0</v>
      </c>
      <c r="I126" s="1143"/>
      <c r="J126" s="1143"/>
      <c r="K126" s="1195">
        <f t="shared" si="7"/>
        <v>0</v>
      </c>
      <c r="M126" s="1207"/>
    </row>
    <row r="127" spans="2:13" x14ac:dyDescent="0.4">
      <c r="B127" s="1148" t="s">
        <v>1089</v>
      </c>
      <c r="C127" s="1143"/>
      <c r="D127" s="1143"/>
      <c r="E127" s="1180">
        <f t="shared" si="8"/>
        <v>0</v>
      </c>
      <c r="F127" s="1143"/>
      <c r="G127" s="1143"/>
      <c r="H127" s="1180">
        <f t="shared" si="6"/>
        <v>0</v>
      </c>
      <c r="I127" s="1143"/>
      <c r="J127" s="1143"/>
      <c r="K127" s="1195">
        <f t="shared" si="7"/>
        <v>0</v>
      </c>
      <c r="M127" s="1207"/>
    </row>
    <row r="128" spans="2:13" x14ac:dyDescent="0.4">
      <c r="B128" s="1148" t="s">
        <v>1090</v>
      </c>
      <c r="C128" s="1143"/>
      <c r="D128" s="1143"/>
      <c r="E128" s="1180">
        <f t="shared" si="8"/>
        <v>0</v>
      </c>
      <c r="F128" s="1143"/>
      <c r="G128" s="1143"/>
      <c r="H128" s="1180">
        <f t="shared" si="6"/>
        <v>0</v>
      </c>
      <c r="I128" s="1143"/>
      <c r="J128" s="1143"/>
      <c r="K128" s="1195">
        <f t="shared" si="7"/>
        <v>0</v>
      </c>
      <c r="M128" s="1207"/>
    </row>
    <row r="129" spans="2:13" x14ac:dyDescent="0.4">
      <c r="B129" s="1148" t="s">
        <v>1091</v>
      </c>
      <c r="C129" s="1143"/>
      <c r="D129" s="1143"/>
      <c r="E129" s="1180">
        <f t="shared" si="8"/>
        <v>0</v>
      </c>
      <c r="F129" s="1143"/>
      <c r="G129" s="1143"/>
      <c r="H129" s="1180">
        <f t="shared" si="6"/>
        <v>0</v>
      </c>
      <c r="I129" s="1143"/>
      <c r="J129" s="1143"/>
      <c r="K129" s="1195">
        <f t="shared" si="7"/>
        <v>0</v>
      </c>
      <c r="M129" s="1207"/>
    </row>
    <row r="130" spans="2:13" x14ac:dyDescent="0.4">
      <c r="B130" s="1148" t="s">
        <v>1092</v>
      </c>
      <c r="C130" s="1143"/>
      <c r="D130" s="1143"/>
      <c r="E130" s="1180">
        <f t="shared" si="8"/>
        <v>0</v>
      </c>
      <c r="F130" s="1143"/>
      <c r="G130" s="1143"/>
      <c r="H130" s="1180">
        <f t="shared" si="6"/>
        <v>0</v>
      </c>
      <c r="I130" s="1143"/>
      <c r="J130" s="1143"/>
      <c r="K130" s="1195">
        <f t="shared" si="7"/>
        <v>0</v>
      </c>
      <c r="M130" s="1207"/>
    </row>
    <row r="131" spans="2:13" x14ac:dyDescent="0.4">
      <c r="B131" s="1148" t="s">
        <v>1093</v>
      </c>
      <c r="C131" s="1143"/>
      <c r="D131" s="1143"/>
      <c r="E131" s="1180">
        <f t="shared" si="8"/>
        <v>0</v>
      </c>
      <c r="F131" s="1143"/>
      <c r="G131" s="1143"/>
      <c r="H131" s="1180">
        <f t="shared" si="6"/>
        <v>0</v>
      </c>
      <c r="I131" s="1143"/>
      <c r="J131" s="1143"/>
      <c r="K131" s="1195">
        <f t="shared" si="7"/>
        <v>0</v>
      </c>
      <c r="M131" s="1207"/>
    </row>
    <row r="132" spans="2:13" x14ac:dyDescent="0.4">
      <c r="B132" s="1148" t="s">
        <v>1094</v>
      </c>
      <c r="C132" s="1143"/>
      <c r="D132" s="1143"/>
      <c r="E132" s="1180">
        <f t="shared" si="8"/>
        <v>0</v>
      </c>
      <c r="F132" s="1143"/>
      <c r="G132" s="1143"/>
      <c r="H132" s="1180">
        <f t="shared" si="6"/>
        <v>0</v>
      </c>
      <c r="I132" s="1143"/>
      <c r="J132" s="1143"/>
      <c r="K132" s="1195">
        <f t="shared" si="7"/>
        <v>0</v>
      </c>
      <c r="M132" s="1207"/>
    </row>
    <row r="133" spans="2:13" x14ac:dyDescent="0.4">
      <c r="B133" s="1148" t="s">
        <v>1095</v>
      </c>
      <c r="C133" s="1143"/>
      <c r="D133" s="1143"/>
      <c r="E133" s="1180">
        <f t="shared" si="8"/>
        <v>0</v>
      </c>
      <c r="F133" s="1143"/>
      <c r="G133" s="1143"/>
      <c r="H133" s="1180">
        <f t="shared" si="6"/>
        <v>0</v>
      </c>
      <c r="I133" s="1143"/>
      <c r="J133" s="1143"/>
      <c r="K133" s="1195">
        <f t="shared" si="7"/>
        <v>0</v>
      </c>
      <c r="M133" s="1207"/>
    </row>
    <row r="134" spans="2:13" x14ac:dyDescent="0.4">
      <c r="B134" s="1148" t="s">
        <v>1096</v>
      </c>
      <c r="C134" s="1143"/>
      <c r="D134" s="1143"/>
      <c r="E134" s="1180">
        <f t="shared" si="8"/>
        <v>0</v>
      </c>
      <c r="F134" s="1143"/>
      <c r="G134" s="1143"/>
      <c r="H134" s="1180">
        <f t="shared" si="6"/>
        <v>0</v>
      </c>
      <c r="I134" s="1143"/>
      <c r="J134" s="1143"/>
      <c r="K134" s="1195">
        <f t="shared" si="7"/>
        <v>0</v>
      </c>
      <c r="M134" s="1207"/>
    </row>
    <row r="135" spans="2:13" x14ac:dyDescent="0.4">
      <c r="B135" s="1148" t="s">
        <v>1097</v>
      </c>
      <c r="C135" s="1143"/>
      <c r="D135" s="1143"/>
      <c r="E135" s="1180">
        <f t="shared" si="8"/>
        <v>0</v>
      </c>
      <c r="F135" s="1143"/>
      <c r="G135" s="1143"/>
      <c r="H135" s="1180">
        <f t="shared" si="6"/>
        <v>0</v>
      </c>
      <c r="I135" s="1143"/>
      <c r="J135" s="1143"/>
      <c r="K135" s="1195">
        <f t="shared" si="7"/>
        <v>0</v>
      </c>
      <c r="M135" s="1207"/>
    </row>
    <row r="136" spans="2:13" x14ac:dyDescent="0.4">
      <c r="B136" s="1148" t="s">
        <v>1098</v>
      </c>
      <c r="C136" s="1143"/>
      <c r="D136" s="1143"/>
      <c r="E136" s="1180">
        <f t="shared" si="8"/>
        <v>0</v>
      </c>
      <c r="F136" s="1143"/>
      <c r="G136" s="1143"/>
      <c r="H136" s="1180">
        <f t="shared" si="6"/>
        <v>0</v>
      </c>
      <c r="I136" s="1143"/>
      <c r="J136" s="1143"/>
      <c r="K136" s="1195">
        <f t="shared" si="7"/>
        <v>0</v>
      </c>
      <c r="M136" s="1207"/>
    </row>
    <row r="137" spans="2:13" x14ac:dyDescent="0.4">
      <c r="B137" s="1148" t="s">
        <v>1099</v>
      </c>
      <c r="C137" s="1143"/>
      <c r="D137" s="1143"/>
      <c r="E137" s="1180">
        <f t="shared" si="8"/>
        <v>0</v>
      </c>
      <c r="F137" s="1143"/>
      <c r="G137" s="1143"/>
      <c r="H137" s="1180">
        <f t="shared" si="6"/>
        <v>0</v>
      </c>
      <c r="I137" s="1143"/>
      <c r="J137" s="1143"/>
      <c r="K137" s="1195">
        <f t="shared" si="7"/>
        <v>0</v>
      </c>
      <c r="M137" s="1207"/>
    </row>
    <row r="138" spans="2:13" x14ac:dyDescent="0.4">
      <c r="B138" s="1148" t="s">
        <v>1100</v>
      </c>
      <c r="C138" s="1143"/>
      <c r="D138" s="1143"/>
      <c r="E138" s="1180">
        <f t="shared" si="8"/>
        <v>0</v>
      </c>
      <c r="F138" s="1143"/>
      <c r="G138" s="1143"/>
      <c r="H138" s="1180">
        <f t="shared" si="6"/>
        <v>0</v>
      </c>
      <c r="I138" s="1143"/>
      <c r="J138" s="1143"/>
      <c r="K138" s="1195">
        <f t="shared" si="7"/>
        <v>0</v>
      </c>
      <c r="M138" s="1207"/>
    </row>
    <row r="139" spans="2:13" x14ac:dyDescent="0.4">
      <c r="B139" s="1148" t="s">
        <v>1101</v>
      </c>
      <c r="C139" s="1143"/>
      <c r="D139" s="1143"/>
      <c r="E139" s="1180">
        <f t="shared" si="8"/>
        <v>0</v>
      </c>
      <c r="F139" s="1143"/>
      <c r="G139" s="1143"/>
      <c r="H139" s="1180">
        <f t="shared" si="6"/>
        <v>0</v>
      </c>
      <c r="I139" s="1143"/>
      <c r="J139" s="1143"/>
      <c r="K139" s="1195">
        <f t="shared" si="7"/>
        <v>0</v>
      </c>
      <c r="M139" s="1207"/>
    </row>
    <row r="140" spans="2:13" x14ac:dyDescent="0.4">
      <c r="B140" s="1148" t="s">
        <v>1102</v>
      </c>
      <c r="C140" s="1143"/>
      <c r="D140" s="1143"/>
      <c r="E140" s="1180">
        <f t="shared" si="8"/>
        <v>0</v>
      </c>
      <c r="F140" s="1143"/>
      <c r="G140" s="1143"/>
      <c r="H140" s="1180">
        <f t="shared" si="6"/>
        <v>0</v>
      </c>
      <c r="I140" s="1143"/>
      <c r="J140" s="1143"/>
      <c r="K140" s="1195">
        <f t="shared" si="7"/>
        <v>0</v>
      </c>
      <c r="M140" s="1207"/>
    </row>
    <row r="141" spans="2:13" x14ac:dyDescent="0.4">
      <c r="B141" s="1148" t="s">
        <v>1103</v>
      </c>
      <c r="C141" s="1143"/>
      <c r="D141" s="1143"/>
      <c r="E141" s="1180">
        <f t="shared" si="8"/>
        <v>0</v>
      </c>
      <c r="F141" s="1143"/>
      <c r="G141" s="1143"/>
      <c r="H141" s="1180">
        <f t="shared" si="6"/>
        <v>0</v>
      </c>
      <c r="I141" s="1143"/>
      <c r="J141" s="1143"/>
      <c r="K141" s="1195">
        <f t="shared" si="7"/>
        <v>0</v>
      </c>
      <c r="M141" s="1207"/>
    </row>
    <row r="142" spans="2:13" x14ac:dyDescent="0.4">
      <c r="B142" s="1148" t="s">
        <v>1104</v>
      </c>
      <c r="C142" s="1143"/>
      <c r="D142" s="1143"/>
      <c r="E142" s="1180">
        <f t="shared" si="8"/>
        <v>0</v>
      </c>
      <c r="F142" s="1143"/>
      <c r="G142" s="1143"/>
      <c r="H142" s="1180">
        <f t="shared" si="6"/>
        <v>0</v>
      </c>
      <c r="I142" s="1143"/>
      <c r="J142" s="1143"/>
      <c r="K142" s="1195">
        <f t="shared" si="7"/>
        <v>0</v>
      </c>
      <c r="M142" s="1207"/>
    </row>
    <row r="143" spans="2:13" x14ac:dyDescent="0.4">
      <c r="B143" s="1148" t="s">
        <v>1105</v>
      </c>
      <c r="C143" s="1143"/>
      <c r="D143" s="1143"/>
      <c r="E143" s="1180">
        <f t="shared" si="8"/>
        <v>0</v>
      </c>
      <c r="F143" s="1143"/>
      <c r="G143" s="1143"/>
      <c r="H143" s="1180">
        <f t="shared" si="6"/>
        <v>0</v>
      </c>
      <c r="I143" s="1143"/>
      <c r="J143" s="1143"/>
      <c r="K143" s="1195">
        <f t="shared" si="7"/>
        <v>0</v>
      </c>
      <c r="M143" s="1207"/>
    </row>
    <row r="144" spans="2:13" x14ac:dyDescent="0.4">
      <c r="B144" s="1148" t="s">
        <v>1106</v>
      </c>
      <c r="C144" s="1143"/>
      <c r="D144" s="1143"/>
      <c r="E144" s="1180">
        <f t="shared" si="8"/>
        <v>0</v>
      </c>
      <c r="F144" s="1143"/>
      <c r="G144" s="1143"/>
      <c r="H144" s="1180">
        <f t="shared" si="6"/>
        <v>0</v>
      </c>
      <c r="I144" s="1143"/>
      <c r="J144" s="1143"/>
      <c r="K144" s="1195">
        <f t="shared" si="7"/>
        <v>0</v>
      </c>
      <c r="M144" s="1207"/>
    </row>
    <row r="145" spans="1:13" x14ac:dyDescent="0.4">
      <c r="B145" s="1148" t="s">
        <v>1107</v>
      </c>
      <c r="C145" s="1143"/>
      <c r="D145" s="1143"/>
      <c r="E145" s="1180">
        <f t="shared" si="8"/>
        <v>0</v>
      </c>
      <c r="F145" s="1143"/>
      <c r="G145" s="1143"/>
      <c r="H145" s="1180">
        <f t="shared" si="6"/>
        <v>0</v>
      </c>
      <c r="I145" s="1143"/>
      <c r="J145" s="1143"/>
      <c r="K145" s="1195">
        <f t="shared" si="7"/>
        <v>0</v>
      </c>
      <c r="M145" s="1207"/>
    </row>
    <row r="146" spans="1:13" x14ac:dyDescent="0.4">
      <c r="B146" s="1148" t="s">
        <v>1108</v>
      </c>
      <c r="C146" s="1143"/>
      <c r="D146" s="1143"/>
      <c r="E146" s="1180">
        <f t="shared" si="8"/>
        <v>0</v>
      </c>
      <c r="F146" s="1143"/>
      <c r="G146" s="1143"/>
      <c r="H146" s="1180">
        <f t="shared" si="6"/>
        <v>0</v>
      </c>
      <c r="I146" s="1143"/>
      <c r="J146" s="1143"/>
      <c r="K146" s="1195">
        <f t="shared" si="7"/>
        <v>0</v>
      </c>
      <c r="M146" s="1207"/>
    </row>
    <row r="147" spans="1:13" x14ac:dyDescent="0.4">
      <c r="B147" s="1148" t="s">
        <v>1109</v>
      </c>
      <c r="C147" s="1143"/>
      <c r="D147" s="1143"/>
      <c r="E147" s="1180">
        <f t="shared" si="8"/>
        <v>0</v>
      </c>
      <c r="F147" s="1143"/>
      <c r="G147" s="1143"/>
      <c r="H147" s="1180">
        <f t="shared" si="6"/>
        <v>0</v>
      </c>
      <c r="I147" s="1143"/>
      <c r="J147" s="1143"/>
      <c r="K147" s="1195">
        <f t="shared" si="7"/>
        <v>0</v>
      </c>
      <c r="M147" s="1207"/>
    </row>
    <row r="148" spans="1:13" x14ac:dyDescent="0.4">
      <c r="B148" s="1148" t="s">
        <v>1110</v>
      </c>
      <c r="C148" s="1143"/>
      <c r="D148" s="1143"/>
      <c r="E148" s="1180">
        <f t="shared" si="8"/>
        <v>0</v>
      </c>
      <c r="F148" s="1143"/>
      <c r="G148" s="1143"/>
      <c r="H148" s="1180">
        <f t="shared" ref="H148:H151" si="9">F148*(G148-$J$22)</f>
        <v>0</v>
      </c>
      <c r="I148" s="1143"/>
      <c r="J148" s="1143"/>
      <c r="K148" s="1195">
        <f t="shared" ref="K148:K151" si="10">I148*(J148-$J$22)</f>
        <v>0</v>
      </c>
      <c r="M148" s="1207"/>
    </row>
    <row r="149" spans="1:13" x14ac:dyDescent="0.4">
      <c r="B149" s="1148" t="s">
        <v>1111</v>
      </c>
      <c r="C149" s="1143"/>
      <c r="D149" s="1143"/>
      <c r="E149" s="1180">
        <f t="shared" ref="E149:E151" si="11">C149*(D149-$J$22)</f>
        <v>0</v>
      </c>
      <c r="F149" s="1143"/>
      <c r="G149" s="1143"/>
      <c r="H149" s="1180">
        <f t="shared" si="9"/>
        <v>0</v>
      </c>
      <c r="I149" s="1143"/>
      <c r="J149" s="1143"/>
      <c r="K149" s="1195">
        <f t="shared" si="10"/>
        <v>0</v>
      </c>
      <c r="M149" s="1207"/>
    </row>
    <row r="150" spans="1:13" x14ac:dyDescent="0.4">
      <c r="B150" s="1148" t="s">
        <v>1112</v>
      </c>
      <c r="C150" s="1143"/>
      <c r="D150" s="1143"/>
      <c r="E150" s="1180">
        <f t="shared" si="11"/>
        <v>0</v>
      </c>
      <c r="F150" s="1143"/>
      <c r="G150" s="1143"/>
      <c r="H150" s="1180">
        <f t="shared" si="9"/>
        <v>0</v>
      </c>
      <c r="I150" s="1143"/>
      <c r="J150" s="1143"/>
      <c r="K150" s="1195">
        <f t="shared" si="10"/>
        <v>0</v>
      </c>
      <c r="M150" s="1207"/>
    </row>
    <row r="151" spans="1:13" ht="16" thickBot="1" x14ac:dyDescent="0.45">
      <c r="B151" s="1196" t="s">
        <v>1113</v>
      </c>
      <c r="C151" s="1197"/>
      <c r="D151" s="1197"/>
      <c r="E151" s="1198">
        <f t="shared" si="11"/>
        <v>0</v>
      </c>
      <c r="F151" s="1197"/>
      <c r="G151" s="1197"/>
      <c r="H151" s="1198">
        <f t="shared" si="9"/>
        <v>0</v>
      </c>
      <c r="I151" s="1197"/>
      <c r="J151" s="1197"/>
      <c r="K151" s="1199">
        <f t="shared" si="10"/>
        <v>0</v>
      </c>
      <c r="M151" s="1207"/>
    </row>
    <row r="152" spans="1:13" x14ac:dyDescent="0.4">
      <c r="M152" s="1207"/>
    </row>
    <row r="153" spans="1:13" x14ac:dyDescent="0.4">
      <c r="A153" s="1207"/>
      <c r="B153" s="1207"/>
      <c r="C153" s="1207"/>
      <c r="D153" s="1207"/>
      <c r="E153" s="1207"/>
      <c r="F153" s="1207"/>
      <c r="G153" s="1207"/>
      <c r="H153" s="1207"/>
      <c r="I153" s="1207"/>
      <c r="J153" s="1207"/>
      <c r="K153" s="1207"/>
      <c r="L153" s="1207"/>
      <c r="M153" s="1207"/>
    </row>
  </sheetData>
  <sheetProtection algorithmName="SHA-512" hashValue="UicclaUIQaMAnAu2iLaQhneNvJTWzWkROQhJgBfIoruRVWZVLTFXdIQye4d1jtv7Q+7TZknIJBnQc8LGY4G36Q==" saltValue="TXAdgQYr6N7ktbURr5P7DQ==" spinCount="100000" sheet="1" selectLockedCells="1"/>
  <mergeCells count="14">
    <mergeCell ref="I50:K50"/>
    <mergeCell ref="C50:E50"/>
    <mergeCell ref="F50:H50"/>
    <mergeCell ref="J26:K26"/>
    <mergeCell ref="B2:C2"/>
    <mergeCell ref="B24:K24"/>
    <mergeCell ref="B22:K22"/>
    <mergeCell ref="B21:K21"/>
    <mergeCell ref="B19:K19"/>
    <mergeCell ref="B18:K18"/>
    <mergeCell ref="B17:K17"/>
    <mergeCell ref="B14:K14"/>
    <mergeCell ref="B16:K16"/>
    <mergeCell ref="B12:K12"/>
  </mergeCells>
  <hyperlinks>
    <hyperlink ref="E4" location="Instructions!C33" display="Back to Instructions tab" xr:uid="{BAD63103-B681-4904-879D-E8BBF1316985}"/>
  </hyperlink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0070C0"/>
  </sheetPr>
  <dimension ref="A1:P264"/>
  <sheetViews>
    <sheetView showGridLines="0" zoomScale="80" zoomScaleNormal="80" workbookViewId="0">
      <selection activeCell="F4" sqref="F4"/>
    </sheetView>
  </sheetViews>
  <sheetFormatPr defaultColWidth="9" defaultRowHeight="15.5" x14ac:dyDescent="0.4"/>
  <cols>
    <col min="1" max="1" width="3.6328125" style="138" customWidth="1"/>
    <col min="2" max="2" width="77.6328125" style="147" customWidth="1"/>
    <col min="3" max="3" width="29.08984375" style="126" customWidth="1"/>
    <col min="4" max="11" width="13.08984375" style="146" customWidth="1"/>
    <col min="12" max="12" width="8.36328125" style="146" customWidth="1"/>
    <col min="13" max="13" width="3.26953125" style="138" customWidth="1"/>
    <col min="14" max="14" width="34.90625" style="138" customWidth="1"/>
    <col min="15" max="15" width="9" style="138"/>
    <col min="16" max="16" width="11.90625" style="138" customWidth="1"/>
    <col min="17" max="16384" width="9" style="138"/>
  </cols>
  <sheetData>
    <row r="1" spans="2:13" ht="17.25" customHeight="1" thickBot="1" x14ac:dyDescent="0.45">
      <c r="M1" s="144"/>
    </row>
    <row r="2" spans="2:13" ht="16" thickBot="1" x14ac:dyDescent="0.45">
      <c r="B2" s="1266" t="s">
        <v>236</v>
      </c>
      <c r="C2" s="1267"/>
      <c r="D2" s="239"/>
      <c r="F2" s="138"/>
      <c r="G2" s="138"/>
      <c r="H2" s="138"/>
      <c r="I2" s="138"/>
      <c r="J2" s="138"/>
      <c r="K2" s="138"/>
      <c r="L2" s="138"/>
      <c r="M2" s="144"/>
    </row>
    <row r="3" spans="2:13" ht="19.5" customHeight="1" x14ac:dyDescent="0.4">
      <c r="B3" s="229" t="s">
        <v>237</v>
      </c>
      <c r="C3" s="230" t="str">
        <f>'Version Control'!C3</f>
        <v>Consumer Boiler</v>
      </c>
      <c r="D3" s="244"/>
      <c r="F3" s="138"/>
      <c r="G3" s="138"/>
      <c r="H3" s="138"/>
      <c r="I3" s="138"/>
      <c r="J3" s="138"/>
      <c r="K3" s="138"/>
      <c r="L3" s="138"/>
      <c r="M3" s="144"/>
    </row>
    <row r="4" spans="2:13" ht="17" x14ac:dyDescent="0.4">
      <c r="B4" s="231" t="s">
        <v>119</v>
      </c>
      <c r="C4" s="232" t="str">
        <f>'Version Control'!C4</f>
        <v>v1.1</v>
      </c>
      <c r="D4" s="178"/>
      <c r="F4" s="76" t="s">
        <v>126</v>
      </c>
      <c r="G4" s="138"/>
      <c r="H4" s="138"/>
      <c r="I4" s="138"/>
      <c r="J4" s="138"/>
      <c r="K4" s="138"/>
      <c r="L4" s="138"/>
      <c r="M4" s="144"/>
    </row>
    <row r="5" spans="2:13" x14ac:dyDescent="0.4">
      <c r="B5" s="231" t="s">
        <v>120</v>
      </c>
      <c r="C5" s="233">
        <f>'Version Control'!C5</f>
        <v>43721</v>
      </c>
      <c r="D5" s="178"/>
      <c r="F5" s="138"/>
      <c r="G5" s="138"/>
      <c r="H5" s="138"/>
      <c r="I5" s="138"/>
      <c r="J5" s="138"/>
      <c r="K5" s="138"/>
      <c r="L5" s="138"/>
      <c r="M5" s="144"/>
    </row>
    <row r="6" spans="2:13" x14ac:dyDescent="0.4">
      <c r="B6" s="234" t="s">
        <v>118</v>
      </c>
      <c r="C6" s="235" t="str">
        <f ca="1">MID(CELL("filename",A1), FIND("]", CELL("filename", A1))+ 1, 255)</f>
        <v>Max Test</v>
      </c>
      <c r="D6" s="178"/>
      <c r="F6" s="138"/>
      <c r="G6" s="138"/>
      <c r="H6" s="138"/>
      <c r="I6" s="138"/>
      <c r="J6" s="138"/>
      <c r="K6" s="138"/>
      <c r="L6" s="138"/>
      <c r="M6" s="144"/>
    </row>
    <row r="7" spans="2:13" x14ac:dyDescent="0.4">
      <c r="B7" s="236" t="s">
        <v>117</v>
      </c>
      <c r="C7" s="1109" t="str">
        <f ca="1">'Version Control'!C7</f>
        <v>Consumer Boiler - v1.1.xlsx</v>
      </c>
      <c r="D7" s="178"/>
      <c r="F7" s="138"/>
      <c r="G7" s="138"/>
      <c r="H7" s="138"/>
      <c r="I7" s="138"/>
      <c r="J7" s="138"/>
      <c r="K7" s="138"/>
      <c r="L7" s="138"/>
      <c r="M7" s="144"/>
    </row>
    <row r="8" spans="2:13" ht="16" thickBot="1" x14ac:dyDescent="0.45">
      <c r="B8" s="237" t="s">
        <v>121</v>
      </c>
      <c r="C8" s="238">
        <f>'Version Control'!C8</f>
        <v>0</v>
      </c>
      <c r="D8" s="162"/>
      <c r="F8" s="138"/>
      <c r="G8" s="138"/>
      <c r="H8" s="138"/>
      <c r="I8" s="138"/>
      <c r="J8" s="138"/>
      <c r="K8" s="138"/>
      <c r="L8" s="138"/>
      <c r="M8" s="144"/>
    </row>
    <row r="9" spans="2:13" x14ac:dyDescent="0.4">
      <c r="M9" s="144"/>
    </row>
    <row r="10" spans="2:13" s="133" customFormat="1" ht="16" thickBot="1" x14ac:dyDescent="0.45">
      <c r="B10" s="263"/>
      <c r="C10" s="281"/>
      <c r="D10" s="263"/>
      <c r="E10" s="282"/>
      <c r="M10" s="150"/>
    </row>
    <row r="11" spans="2:13" ht="16" thickBot="1" x14ac:dyDescent="0.45">
      <c r="B11" s="283" t="str">
        <f>"Steady-State Test" &amp; IF('General Info &amp; Test Results'!$C$37="Electricity"," - NOT REQUIRED FOR THIS TEST","")</f>
        <v>Steady-State Test</v>
      </c>
      <c r="C11" s="284"/>
      <c r="D11" s="285"/>
      <c r="E11" s="967"/>
      <c r="F11" s="1016"/>
      <c r="G11" s="1016"/>
      <c r="H11" s="1016"/>
      <c r="I11" s="1016"/>
      <c r="J11" s="1016"/>
      <c r="K11" s="1017"/>
      <c r="L11" s="138"/>
      <c r="M11" s="144"/>
    </row>
    <row r="12" spans="2:13" ht="34.5" customHeight="1" x14ac:dyDescent="0.4">
      <c r="B12" s="1467" t="s">
        <v>903</v>
      </c>
      <c r="C12" s="1468"/>
      <c r="D12" s="1468"/>
      <c r="E12" s="1468"/>
      <c r="F12" s="1468"/>
      <c r="G12" s="1468"/>
      <c r="H12" s="1468"/>
      <c r="I12" s="1468"/>
      <c r="J12" s="1468"/>
      <c r="K12" s="1469"/>
      <c r="L12" s="138"/>
      <c r="M12" s="144"/>
    </row>
    <row r="13" spans="2:13" x14ac:dyDescent="0.4">
      <c r="B13" s="986"/>
      <c r="C13" s="987"/>
      <c r="D13" s="987"/>
      <c r="E13" s="987"/>
      <c r="F13" s="444"/>
      <c r="G13" s="444"/>
      <c r="H13" s="444"/>
      <c r="I13" s="444"/>
      <c r="J13" s="444"/>
      <c r="K13" s="447"/>
      <c r="L13" s="138"/>
      <c r="M13" s="144"/>
    </row>
    <row r="14" spans="2:13" s="146" customFormat="1" ht="53.25" customHeight="1" x14ac:dyDescent="0.4">
      <c r="B14" s="1470" t="s">
        <v>406</v>
      </c>
      <c r="C14" s="1471"/>
      <c r="D14" s="1471"/>
      <c r="E14" s="1471"/>
      <c r="F14" s="1471"/>
      <c r="G14" s="1471"/>
      <c r="H14" s="1471"/>
      <c r="I14" s="1471"/>
      <c r="J14" s="1471"/>
      <c r="K14" s="1472"/>
      <c r="M14" s="151"/>
    </row>
    <row r="15" spans="2:13" s="156" customFormat="1" x14ac:dyDescent="0.4">
      <c r="B15" s="440" t="s">
        <v>52</v>
      </c>
      <c r="C15" s="441" t="s">
        <v>34</v>
      </c>
      <c r="D15" s="968" t="s">
        <v>35</v>
      </c>
      <c r="E15" s="442" t="s">
        <v>33</v>
      </c>
      <c r="F15" s="972"/>
      <c r="G15" s="972"/>
      <c r="H15" s="972"/>
      <c r="I15" s="972"/>
      <c r="J15" s="972"/>
      <c r="K15" s="1002"/>
      <c r="M15" s="152"/>
    </row>
    <row r="16" spans="2:13" ht="18" thickBot="1" x14ac:dyDescent="0.45">
      <c r="B16" s="1003" t="s">
        <v>403</v>
      </c>
      <c r="C16" s="997" t="str">
        <f>IF('General Info &amp; Test Results'!C29="","",'General Info &amp; Test Results'!C29)</f>
        <v/>
      </c>
      <c r="D16" s="771" t="str">
        <f>IF('General Info &amp; Test Results'!$C$37="Electricity","kW","Btu/h")</f>
        <v>Btu/h</v>
      </c>
      <c r="E16" s="1015" t="s">
        <v>522</v>
      </c>
      <c r="F16" s="973" t="s">
        <v>422</v>
      </c>
      <c r="G16" s="971"/>
      <c r="H16" s="971"/>
      <c r="I16" s="971"/>
      <c r="J16" s="971"/>
      <c r="K16" s="989"/>
      <c r="M16" s="144"/>
    </row>
    <row r="17" spans="2:16" ht="16" thickBot="1" x14ac:dyDescent="0.45">
      <c r="B17" s="998"/>
      <c r="C17" s="999"/>
      <c r="D17" s="1000"/>
      <c r="E17" s="1001"/>
      <c r="F17" s="1008"/>
      <c r="G17" s="1008"/>
      <c r="H17" s="1008"/>
      <c r="I17" s="1008"/>
      <c r="J17" s="1008"/>
      <c r="K17" s="982"/>
      <c r="M17" s="144"/>
      <c r="P17" s="153"/>
    </row>
    <row r="18" spans="2:16" ht="89.25" customHeight="1" x14ac:dyDescent="0.4">
      <c r="B18" s="1464" t="s">
        <v>731</v>
      </c>
      <c r="C18" s="1465"/>
      <c r="D18" s="1465"/>
      <c r="E18" s="1465"/>
      <c r="F18" s="1465"/>
      <c r="G18" s="1465"/>
      <c r="H18" s="1465"/>
      <c r="I18" s="1465"/>
      <c r="J18" s="1465"/>
      <c r="K18" s="1466"/>
      <c r="M18" s="144"/>
      <c r="P18" s="153"/>
    </row>
    <row r="19" spans="2:16" x14ac:dyDescent="0.4">
      <c r="B19" s="440" t="s">
        <v>52</v>
      </c>
      <c r="C19" s="441" t="s">
        <v>34</v>
      </c>
      <c r="D19" s="442" t="s">
        <v>35</v>
      </c>
      <c r="E19" s="442" t="s">
        <v>33</v>
      </c>
      <c r="F19" s="971"/>
      <c r="G19" s="971"/>
      <c r="H19" s="971"/>
      <c r="I19" s="971"/>
      <c r="J19" s="971"/>
      <c r="K19" s="989"/>
      <c r="M19" s="144"/>
      <c r="P19" s="153"/>
    </row>
    <row r="20" spans="2:16" ht="31" x14ac:dyDescent="0.4">
      <c r="B20" s="438" t="s">
        <v>398</v>
      </c>
      <c r="C20" s="111"/>
      <c r="D20" s="439" t="s">
        <v>57</v>
      </c>
      <c r="E20" s="974" t="s">
        <v>178</v>
      </c>
      <c r="F20" s="971"/>
      <c r="G20" s="971"/>
      <c r="H20" s="971"/>
      <c r="I20" s="971"/>
      <c r="J20" s="971"/>
      <c r="K20" s="989"/>
      <c r="M20" s="144"/>
      <c r="P20" s="153"/>
    </row>
    <row r="21" spans="2:16" x14ac:dyDescent="0.4">
      <c r="B21" s="445" t="s">
        <v>399</v>
      </c>
      <c r="C21" s="111"/>
      <c r="D21" s="439" t="s">
        <v>57</v>
      </c>
      <c r="E21" s="975" t="s">
        <v>97</v>
      </c>
      <c r="F21" s="971"/>
      <c r="G21" s="971"/>
      <c r="H21" s="971"/>
      <c r="I21" s="971"/>
      <c r="J21" s="971"/>
      <c r="K21" s="989"/>
      <c r="M21" s="144"/>
      <c r="P21" s="153"/>
    </row>
    <row r="22" spans="2:16" x14ac:dyDescent="0.4">
      <c r="B22" s="450" t="s">
        <v>397</v>
      </c>
      <c r="C22" s="111"/>
      <c r="D22" s="272" t="s">
        <v>178</v>
      </c>
      <c r="E22" s="975" t="s">
        <v>178</v>
      </c>
      <c r="F22" s="971"/>
      <c r="G22" s="971"/>
      <c r="H22" s="971"/>
      <c r="I22" s="971"/>
      <c r="J22" s="971"/>
      <c r="K22" s="989"/>
      <c r="M22" s="144"/>
      <c r="P22" s="153"/>
    </row>
    <row r="23" spans="2:16" ht="16" thickBot="1" x14ac:dyDescent="0.45">
      <c r="B23" s="1004" t="s">
        <v>400</v>
      </c>
      <c r="C23" s="992" t="str">
        <f>IF(OR(C20="",C22=""),"",IF(AND(C22="No",C21=""),"Enter Boiler Pump Power",IF(C22="Yes",C20,C20+C21)))</f>
        <v/>
      </c>
      <c r="D23" s="993" t="s">
        <v>57</v>
      </c>
      <c r="E23" s="994" t="s">
        <v>96</v>
      </c>
      <c r="F23" s="971"/>
      <c r="G23" s="971"/>
      <c r="H23" s="971"/>
      <c r="I23" s="971"/>
      <c r="J23" s="971"/>
      <c r="K23" s="989"/>
      <c r="M23" s="144"/>
      <c r="P23" s="153"/>
    </row>
    <row r="24" spans="2:16" ht="16" thickBot="1" x14ac:dyDescent="0.45">
      <c r="B24" s="995"/>
      <c r="C24" s="996"/>
      <c r="D24" s="996"/>
      <c r="E24" s="996"/>
      <c r="F24" s="1008"/>
      <c r="G24" s="1008"/>
      <c r="H24" s="1008"/>
      <c r="I24" s="1008"/>
      <c r="J24" s="1008"/>
      <c r="K24" s="982"/>
      <c r="M24" s="144"/>
      <c r="P24" s="153"/>
    </row>
    <row r="25" spans="2:16" ht="72" customHeight="1" x14ac:dyDescent="0.4">
      <c r="B25" s="1464" t="s">
        <v>730</v>
      </c>
      <c r="C25" s="1465"/>
      <c r="D25" s="1465"/>
      <c r="E25" s="1465"/>
      <c r="F25" s="1465"/>
      <c r="G25" s="1465"/>
      <c r="H25" s="1465"/>
      <c r="I25" s="1465"/>
      <c r="J25" s="1465"/>
      <c r="K25" s="1466"/>
      <c r="M25" s="144"/>
      <c r="N25" s="153"/>
      <c r="O25" s="153"/>
      <c r="P25" s="153"/>
    </row>
    <row r="26" spans="2:16" x14ac:dyDescent="0.4">
      <c r="B26" s="440" t="s">
        <v>52</v>
      </c>
      <c r="C26" s="441" t="s">
        <v>34</v>
      </c>
      <c r="D26" s="442" t="s">
        <v>35</v>
      </c>
      <c r="E26" s="442" t="s">
        <v>33</v>
      </c>
      <c r="F26" s="971"/>
      <c r="G26" s="971"/>
      <c r="H26" s="971"/>
      <c r="I26" s="971"/>
      <c r="J26" s="971"/>
      <c r="K26" s="989"/>
      <c r="M26" s="144"/>
      <c r="N26" s="153"/>
      <c r="O26" s="153"/>
      <c r="P26" s="153"/>
    </row>
    <row r="27" spans="2:16" ht="16.5" x14ac:dyDescent="0.4">
      <c r="B27" s="470" t="s">
        <v>256</v>
      </c>
      <c r="C27" s="288"/>
      <c r="D27" s="271" t="s">
        <v>57</v>
      </c>
      <c r="E27" s="975" t="s">
        <v>711</v>
      </c>
      <c r="F27" s="971"/>
      <c r="G27" s="971"/>
      <c r="H27" s="971"/>
      <c r="I27" s="971"/>
      <c r="J27" s="971"/>
      <c r="K27" s="989"/>
      <c r="M27" s="144"/>
      <c r="N27" s="153"/>
      <c r="O27" s="153"/>
      <c r="P27" s="153"/>
    </row>
    <row r="28" spans="2:16" ht="17" thickBot="1" x14ac:dyDescent="0.45">
      <c r="B28" s="274" t="s">
        <v>257</v>
      </c>
      <c r="C28" s="1012"/>
      <c r="D28" s="1013" t="s">
        <v>36</v>
      </c>
      <c r="E28" s="1014" t="s">
        <v>712</v>
      </c>
      <c r="F28" s="971"/>
      <c r="G28" s="971"/>
      <c r="H28" s="971"/>
      <c r="I28" s="971"/>
      <c r="J28" s="971"/>
      <c r="K28" s="989"/>
      <c r="M28" s="144"/>
      <c r="N28" s="472"/>
      <c r="O28" s="153"/>
      <c r="P28" s="153"/>
    </row>
    <row r="29" spans="2:16" ht="16" thickBot="1" x14ac:dyDescent="0.45">
      <c r="B29" s="979"/>
      <c r="C29" s="980"/>
      <c r="D29" s="980"/>
      <c r="E29" s="981"/>
      <c r="F29" s="1008"/>
      <c r="G29" s="1008"/>
      <c r="H29" s="1008"/>
      <c r="I29" s="1008"/>
      <c r="J29" s="1008"/>
      <c r="K29" s="982"/>
      <c r="M29" s="144"/>
      <c r="N29" s="153"/>
      <c r="O29" s="153"/>
      <c r="P29" s="153"/>
    </row>
    <row r="30" spans="2:16" ht="153" customHeight="1" x14ac:dyDescent="0.4">
      <c r="B30" s="1464" t="s">
        <v>889</v>
      </c>
      <c r="C30" s="1465"/>
      <c r="D30" s="1465"/>
      <c r="E30" s="1465"/>
      <c r="F30" s="1465"/>
      <c r="G30" s="1465"/>
      <c r="H30" s="1465"/>
      <c r="I30" s="1465"/>
      <c r="J30" s="1465"/>
      <c r="K30" s="1466"/>
      <c r="M30" s="144"/>
      <c r="N30" s="153"/>
      <c r="O30" s="153"/>
      <c r="P30" s="153"/>
    </row>
    <row r="31" spans="2:16" x14ac:dyDescent="0.4">
      <c r="B31" s="803"/>
      <c r="C31" s="801"/>
      <c r="D31" s="801"/>
      <c r="E31" s="801"/>
      <c r="F31" s="971"/>
      <c r="G31" s="971"/>
      <c r="H31" s="971"/>
      <c r="I31" s="971"/>
      <c r="J31" s="971"/>
      <c r="K31" s="989"/>
      <c r="M31" s="144"/>
      <c r="N31" s="153"/>
      <c r="O31" s="153"/>
      <c r="P31" s="153"/>
    </row>
    <row r="32" spans="2:16" ht="33.75" customHeight="1" x14ac:dyDescent="0.4">
      <c r="B32" s="1461" t="s">
        <v>949</v>
      </c>
      <c r="C32" s="1462"/>
      <c r="D32" s="1462"/>
      <c r="E32" s="1462"/>
      <c r="F32" s="1462"/>
      <c r="G32" s="1462"/>
      <c r="H32" s="1462"/>
      <c r="I32" s="1462"/>
      <c r="J32" s="1462"/>
      <c r="K32" s="1463"/>
      <c r="M32" s="144"/>
      <c r="N32" s="153"/>
      <c r="O32" s="153"/>
      <c r="P32" s="153"/>
    </row>
    <row r="33" spans="2:16" x14ac:dyDescent="0.4">
      <c r="B33" s="803"/>
      <c r="C33" s="801"/>
      <c r="D33" s="801"/>
      <c r="E33" s="801"/>
      <c r="F33" s="971"/>
      <c r="G33" s="971"/>
      <c r="H33" s="971"/>
      <c r="I33" s="971"/>
      <c r="J33" s="971"/>
      <c r="K33" s="989"/>
      <c r="M33" s="144"/>
      <c r="N33" s="153"/>
      <c r="O33" s="153"/>
      <c r="P33" s="153"/>
    </row>
    <row r="34" spans="2:16" x14ac:dyDescent="0.4">
      <c r="B34" s="1444" t="str">
        <f>"Non-Condensing or Electric Hot Water Boilers" &amp; IF(OR('General Info &amp; Test Results'!$C$37="Electricity",'General Info &amp; Test Results'!$C$49="Non-Condensing"),""," - NOT REQUIRED FOR THIS TEST")</f>
        <v>Non-Condensing or Electric Hot Water Boilers - NOT REQUIRED FOR THIS TEST</v>
      </c>
      <c r="C34" s="1476"/>
      <c r="D34" s="1476"/>
      <c r="E34" s="1476"/>
      <c r="F34" s="1476"/>
      <c r="G34" s="1476"/>
      <c r="H34" s="1476"/>
      <c r="I34" s="971"/>
      <c r="J34" s="971"/>
      <c r="K34" s="989"/>
      <c r="M34" s="144"/>
      <c r="N34" s="153"/>
      <c r="O34" s="153"/>
      <c r="P34" s="153"/>
    </row>
    <row r="35" spans="2:16" x14ac:dyDescent="0.4">
      <c r="B35" s="1418" t="s">
        <v>52</v>
      </c>
      <c r="C35" s="1420" t="s">
        <v>943</v>
      </c>
      <c r="D35" s="1421"/>
      <c r="E35" s="1361" t="s">
        <v>892</v>
      </c>
      <c r="F35" s="1361"/>
      <c r="G35" s="1362" t="s">
        <v>35</v>
      </c>
      <c r="H35" s="1422" t="s">
        <v>891</v>
      </c>
      <c r="I35" s="971"/>
      <c r="J35" s="971"/>
      <c r="K35" s="989"/>
      <c r="M35" s="144"/>
      <c r="N35" s="153"/>
      <c r="O35" s="153"/>
      <c r="P35" s="153"/>
    </row>
    <row r="36" spans="2:16" x14ac:dyDescent="0.4">
      <c r="B36" s="1419"/>
      <c r="C36" s="800" t="s">
        <v>269</v>
      </c>
      <c r="D36" s="800" t="s">
        <v>270</v>
      </c>
      <c r="E36" s="1019" t="s">
        <v>269</v>
      </c>
      <c r="F36" s="1019" t="s">
        <v>270</v>
      </c>
      <c r="G36" s="1362"/>
      <c r="H36" s="1422"/>
      <c r="I36" s="971"/>
      <c r="J36" s="971"/>
      <c r="K36" s="989"/>
      <c r="M36" s="144"/>
      <c r="N36" s="153"/>
      <c r="O36" s="153"/>
      <c r="P36" s="153"/>
    </row>
    <row r="37" spans="2:16" x14ac:dyDescent="0.4">
      <c r="B37" s="802" t="s">
        <v>890</v>
      </c>
      <c r="C37" s="1048" t="str">
        <f>IF('General Info &amp; Test Results'!$C$49&lt;&gt;"Non-Condensing","N/A",MIN($H$79:$H$81))</f>
        <v>N/A</v>
      </c>
      <c r="D37" s="1048" t="str">
        <f>IF('General Info &amp; Test Results'!$C$49&lt;&gt;"Non-Condensing","N/A",MAX($H$79:$H$81))</f>
        <v>N/A</v>
      </c>
      <c r="E37" s="122" t="str">
        <f>IF('General Info &amp; Test Results'!$C$49&lt;&gt;"Non-Condensing","N/A",120)</f>
        <v>N/A</v>
      </c>
      <c r="F37" s="997" t="str">
        <f>IF('General Info &amp; Test Results'!$C$49&lt;&gt;"Non-Condensing","N/A",124)</f>
        <v>N/A</v>
      </c>
      <c r="G37" s="983" t="s">
        <v>51</v>
      </c>
      <c r="H37" s="471" t="str">
        <f>IF('General Info &amp; Test Results'!$C$49&lt;&gt;"Non-Condensing","N/A",IF(AND(C37&gt;=E37,D37&lt;=F37,C37&lt;=D37),"Yes","No"))</f>
        <v>N/A</v>
      </c>
      <c r="I37" s="971"/>
      <c r="J37" s="971"/>
      <c r="K37" s="989"/>
      <c r="M37" s="144"/>
      <c r="N37" s="153"/>
      <c r="O37" s="153"/>
      <c r="P37" s="153"/>
    </row>
    <row r="38" spans="2:16" x14ac:dyDescent="0.4">
      <c r="B38" s="804" t="s">
        <v>893</v>
      </c>
      <c r="C38" s="1048" t="str">
        <f>IF('General Info &amp; Test Results'!$C$49&lt;&gt;"Non-Condensing","N/A",MIN($I$79:$I$81))</f>
        <v>N/A</v>
      </c>
      <c r="D38" s="1048" t="str">
        <f>IF('General Info &amp; Test Results'!$C$49&lt;&gt;"Non-Condensing","N/A",MAX($I$79:$I$81))</f>
        <v>N/A</v>
      </c>
      <c r="E38" s="1020" t="str">
        <f>IF('General Info &amp; Test Results'!$C$49&lt;&gt;"Non-Condensing","N/A",19)</f>
        <v>N/A</v>
      </c>
      <c r="F38" s="122" t="str">
        <f>IF('General Info &amp; Test Results'!$C$49&lt;&gt;"Non-Condensing","N/A",24)</f>
        <v>N/A</v>
      </c>
      <c r="G38" s="1021" t="s">
        <v>51</v>
      </c>
      <c r="H38" s="471" t="str">
        <f>IF('General Info &amp; Test Results'!$C$49&lt;&gt;"Non-Condensing","N/A",IF(AND(C38&gt;=E38,D38&lt;=F38,C38&lt;=D38),"Yes","No"))</f>
        <v>N/A</v>
      </c>
      <c r="I38" s="971"/>
      <c r="J38" s="971"/>
      <c r="K38" s="989"/>
      <c r="M38" s="144"/>
      <c r="N38" s="153"/>
      <c r="O38" s="153"/>
      <c r="P38" s="153"/>
    </row>
    <row r="39" spans="2:16" x14ac:dyDescent="0.4">
      <c r="B39" s="448"/>
      <c r="C39" s="449"/>
      <c r="D39" s="449"/>
      <c r="E39" s="969"/>
      <c r="F39" s="971"/>
      <c r="G39" s="971"/>
      <c r="H39" s="971"/>
      <c r="I39" s="971"/>
      <c r="J39" s="971"/>
      <c r="K39" s="989"/>
      <c r="M39" s="144"/>
      <c r="N39" s="153"/>
      <c r="O39" s="153"/>
      <c r="P39" s="153"/>
    </row>
    <row r="40" spans="2:16" x14ac:dyDescent="0.4">
      <c r="B40" s="1444" t="str">
        <f>"Condensing Hot Water Boilers" &amp; IF('General Info &amp; Test Results'!$C$49="Condensing",""," - NOT REQUIRED FOR THIS TEST")</f>
        <v>Condensing Hot Water Boilers - NOT REQUIRED FOR THIS TEST</v>
      </c>
      <c r="C40" s="1476"/>
      <c r="D40" s="1476"/>
      <c r="E40" s="1476"/>
      <c r="F40" s="1476"/>
      <c r="G40" s="1476"/>
      <c r="H40" s="1476"/>
      <c r="I40" s="971"/>
      <c r="J40" s="971"/>
      <c r="K40" s="989"/>
      <c r="M40" s="144"/>
      <c r="N40" s="153"/>
      <c r="O40" s="153"/>
      <c r="P40" s="153"/>
    </row>
    <row r="41" spans="2:16" x14ac:dyDescent="0.4">
      <c r="B41" s="1418" t="s">
        <v>52</v>
      </c>
      <c r="C41" s="1477" t="s">
        <v>943</v>
      </c>
      <c r="D41" s="1478"/>
      <c r="E41" s="1479" t="s">
        <v>892</v>
      </c>
      <c r="F41" s="1479"/>
      <c r="G41" s="1480" t="s">
        <v>35</v>
      </c>
      <c r="H41" s="1481" t="s">
        <v>891</v>
      </c>
      <c r="I41" s="971"/>
      <c r="J41" s="971"/>
      <c r="K41" s="989"/>
      <c r="M41" s="144"/>
      <c r="N41" s="153"/>
      <c r="O41" s="153"/>
      <c r="P41" s="153"/>
    </row>
    <row r="42" spans="2:16" x14ac:dyDescent="0.4">
      <c r="B42" s="1419"/>
      <c r="C42" s="800" t="s">
        <v>269</v>
      </c>
      <c r="D42" s="800" t="s">
        <v>270</v>
      </c>
      <c r="E42" s="1019" t="s">
        <v>269</v>
      </c>
      <c r="F42" s="1019" t="s">
        <v>270</v>
      </c>
      <c r="G42" s="1362"/>
      <c r="H42" s="1422"/>
      <c r="I42" s="971"/>
      <c r="J42" s="971"/>
      <c r="K42" s="989"/>
      <c r="M42" s="144"/>
      <c r="N42" s="153"/>
      <c r="O42" s="153"/>
      <c r="P42" s="153"/>
    </row>
    <row r="43" spans="2:16" x14ac:dyDescent="0.4">
      <c r="B43" s="802" t="s">
        <v>894</v>
      </c>
      <c r="C43" s="111"/>
      <c r="D43" s="111"/>
      <c r="E43" s="122" t="str">
        <f>IF('General Info &amp; Test Results'!$C$49&lt;&gt;"Condensing","N/A",120-10)</f>
        <v>N/A</v>
      </c>
      <c r="F43" s="122" t="str">
        <f>IF('General Info &amp; Test Results'!$C$49&lt;&gt;"Condensing","N/A",120+10)</f>
        <v>N/A</v>
      </c>
      <c r="G43" s="983" t="s">
        <v>51</v>
      </c>
      <c r="H43" s="471" t="str">
        <f>IF('General Info &amp; Test Results'!$C$49&lt;&gt;"Condensing","N/A",IF(AND(C43&gt;=E43,D43&lt;=F43,C43&lt;=D43),"Yes","No"))</f>
        <v>N/A</v>
      </c>
      <c r="I43" s="971"/>
      <c r="J43" s="971"/>
      <c r="K43" s="989"/>
      <c r="M43" s="144"/>
      <c r="N43" s="153"/>
      <c r="O43" s="153"/>
      <c r="P43" s="153"/>
    </row>
    <row r="44" spans="2:16" x14ac:dyDescent="0.4">
      <c r="B44" s="806" t="s">
        <v>895</v>
      </c>
      <c r="C44" s="111"/>
      <c r="D44" s="111"/>
      <c r="E44" s="122" t="str">
        <f>IF('General Info &amp; Test Results'!$C$49&lt;&gt;"Condensing","N/A",120-5)</f>
        <v>N/A</v>
      </c>
      <c r="F44" s="122" t="str">
        <f>IF('General Info &amp; Test Results'!$C$49&lt;&gt;"Condensing","N/A",120+5)</f>
        <v>N/A</v>
      </c>
      <c r="G44" s="983" t="s">
        <v>51</v>
      </c>
      <c r="H44" s="471" t="str">
        <f>IF('General Info &amp; Test Results'!$C$49&lt;&gt;"Condensing","N/A",IF(AND(C44&gt;=E44,D44&lt;=F44,C44&lt;=D44),"Yes","No"))</f>
        <v>N/A</v>
      </c>
      <c r="I44" s="971"/>
      <c r="J44" s="971"/>
      <c r="K44" s="989"/>
      <c r="M44" s="144"/>
      <c r="N44" s="153"/>
      <c r="O44" s="153"/>
      <c r="P44" s="153"/>
    </row>
    <row r="45" spans="2:16" x14ac:dyDescent="0.4">
      <c r="B45" s="805" t="s">
        <v>896</v>
      </c>
      <c r="C45" s="111"/>
      <c r="D45" s="111"/>
      <c r="E45" s="122" t="str">
        <f>IF('General Info &amp; Test Results'!$C$49&lt;&gt;"Condensing","N/A",120-2)</f>
        <v>N/A</v>
      </c>
      <c r="F45" s="997" t="str">
        <f>IF('General Info &amp; Test Results'!$C$49&lt;&gt;"Condensing","N/A",120+2)</f>
        <v>N/A</v>
      </c>
      <c r="G45" s="983" t="s">
        <v>51</v>
      </c>
      <c r="H45" s="471" t="str">
        <f>IF('General Info &amp; Test Results'!$C$49&lt;&gt;"Condensing","N/A",IF(AND(C45&gt;=E45,D45&lt;=F45,C45&lt;=D45),"Yes","No"))</f>
        <v>N/A</v>
      </c>
      <c r="I45" s="971"/>
      <c r="J45" s="971"/>
      <c r="K45" s="989"/>
      <c r="M45" s="144"/>
      <c r="N45" s="153"/>
      <c r="O45" s="153"/>
      <c r="P45" s="153"/>
    </row>
    <row r="46" spans="2:16" x14ac:dyDescent="0.4">
      <c r="B46" s="804" t="s">
        <v>893</v>
      </c>
      <c r="C46" s="1020" t="str">
        <f>IF('General Info &amp; Test Results'!$C$49&lt;&gt;"Condensing","N/A",MIN($I$79:$I$81))</f>
        <v>N/A</v>
      </c>
      <c r="D46" s="1020" t="str">
        <f>IF('General Info &amp; Test Results'!$C$49&lt;&gt;"Condensing","N/A",MAX($I$79:$I$81))</f>
        <v>N/A</v>
      </c>
      <c r="E46" s="1020" t="str">
        <f>IF('General Info &amp; Test Results'!$C$49&lt;&gt;"Condensing","N/A",19.5)</f>
        <v>N/A</v>
      </c>
      <c r="F46" s="122" t="str">
        <f>IF('General Info &amp; Test Results'!$C$49&lt;&gt;"Condensing","N/A",20.5)</f>
        <v>N/A</v>
      </c>
      <c r="G46" s="1021" t="s">
        <v>51</v>
      </c>
      <c r="H46" s="471" t="str">
        <f>IF('General Info &amp; Test Results'!$C$49&lt;&gt;"Condensing","N/A",IF(AND(C46&gt;=E46,D46&lt;=F46,C46&lt;=D46),"Yes","No"))</f>
        <v>N/A</v>
      </c>
      <c r="I46" s="971"/>
      <c r="J46" s="971"/>
      <c r="K46" s="989"/>
      <c r="M46" s="144"/>
      <c r="N46" s="153"/>
      <c r="O46" s="153"/>
      <c r="P46" s="153"/>
    </row>
    <row r="47" spans="2:16" x14ac:dyDescent="0.4">
      <c r="B47" s="448"/>
      <c r="C47" s="449"/>
      <c r="D47" s="449"/>
      <c r="E47" s="969"/>
      <c r="F47" s="971"/>
      <c r="G47" s="971"/>
      <c r="H47" s="971"/>
      <c r="I47" s="971"/>
      <c r="J47" s="971"/>
      <c r="K47" s="989"/>
      <c r="M47" s="144"/>
      <c r="N47" s="153"/>
      <c r="O47" s="153"/>
      <c r="P47" s="153"/>
    </row>
    <row r="48" spans="2:16" x14ac:dyDescent="0.4">
      <c r="B48" s="1444" t="str">
        <f>"Steam Boilers" &amp; IF('General Info &amp; Test Results'!$C$38="Steam",""," - NOT REQUIRED FOR THIS TEST")</f>
        <v>Steam Boilers - NOT REQUIRED FOR THIS TEST</v>
      </c>
      <c r="C48" s="1476"/>
      <c r="D48" s="1476"/>
      <c r="E48" s="1476"/>
      <c r="F48" s="1476"/>
      <c r="G48" s="1476"/>
      <c r="H48" s="1476"/>
      <c r="I48" s="971"/>
      <c r="J48" s="971"/>
      <c r="K48" s="989"/>
      <c r="M48" s="144"/>
      <c r="N48" s="153"/>
      <c r="O48" s="153"/>
      <c r="P48" s="153"/>
    </row>
    <row r="49" spans="2:16" x14ac:dyDescent="0.4">
      <c r="B49" s="1418" t="s">
        <v>52</v>
      </c>
      <c r="C49" s="1477" t="s">
        <v>943</v>
      </c>
      <c r="D49" s="1478"/>
      <c r="E49" s="1479" t="s">
        <v>892</v>
      </c>
      <c r="F49" s="1479"/>
      <c r="G49" s="1480" t="s">
        <v>35</v>
      </c>
      <c r="H49" s="1481" t="s">
        <v>891</v>
      </c>
      <c r="I49" s="971"/>
      <c r="J49" s="971"/>
      <c r="K49" s="989"/>
      <c r="M49" s="144"/>
      <c r="N49" s="153"/>
      <c r="O49" s="153"/>
      <c r="P49" s="153"/>
    </row>
    <row r="50" spans="2:16" x14ac:dyDescent="0.4">
      <c r="B50" s="1419"/>
      <c r="C50" s="800" t="s">
        <v>269</v>
      </c>
      <c r="D50" s="800" t="s">
        <v>270</v>
      </c>
      <c r="E50" s="1019" t="s">
        <v>269</v>
      </c>
      <c r="F50" s="1019" t="s">
        <v>270</v>
      </c>
      <c r="G50" s="1362"/>
      <c r="H50" s="1422"/>
      <c r="I50" s="971"/>
      <c r="J50" s="971"/>
      <c r="K50" s="989"/>
      <c r="M50" s="144"/>
      <c r="N50" s="153"/>
      <c r="O50" s="153"/>
      <c r="P50" s="153"/>
    </row>
    <row r="51" spans="2:16" ht="16" thickBot="1" x14ac:dyDescent="0.45">
      <c r="B51" s="1045" t="s">
        <v>775</v>
      </c>
      <c r="C51" s="191"/>
      <c r="D51" s="191"/>
      <c r="E51" s="997" t="str">
        <f>IF('General Info &amp; Test Results'!$C$38&lt;&gt;"Steam","",0)</f>
        <v/>
      </c>
      <c r="F51" s="997" t="str">
        <f>IF('General Info &amp; Test Results'!$C$38&lt;&gt;"Steam","",2)</f>
        <v/>
      </c>
      <c r="G51" s="1046" t="s">
        <v>897</v>
      </c>
      <c r="H51" s="978" t="str">
        <f>IF('General Info &amp; Test Results'!$C$38&lt;&gt;"Steam","N/A",IF(AND(C51&gt;=E51,D51&lt;=F51,C51&lt;=D51),"Yes","No"))</f>
        <v>N/A</v>
      </c>
      <c r="I51" s="971"/>
      <c r="J51" s="971"/>
      <c r="K51" s="989"/>
      <c r="M51" s="144"/>
      <c r="N51" s="153"/>
      <c r="O51" s="153"/>
      <c r="P51" s="153"/>
    </row>
    <row r="52" spans="2:16" ht="16" thickBot="1" x14ac:dyDescent="0.45">
      <c r="B52" s="979"/>
      <c r="C52" s="980"/>
      <c r="D52" s="980"/>
      <c r="E52" s="981"/>
      <c r="F52" s="1008"/>
      <c r="G52" s="1008"/>
      <c r="H52" s="1008"/>
      <c r="I52" s="1008"/>
      <c r="J52" s="1008"/>
      <c r="K52" s="982"/>
      <c r="M52" s="144"/>
      <c r="N52" s="153"/>
      <c r="O52" s="153"/>
      <c r="P52" s="153"/>
    </row>
    <row r="53" spans="2:16" ht="17.5" x14ac:dyDescent="0.4">
      <c r="B53" s="1456" t="s">
        <v>946</v>
      </c>
      <c r="C53" s="1457"/>
      <c r="D53" s="1457"/>
      <c r="E53" s="1457"/>
      <c r="F53" s="1457"/>
      <c r="G53" s="1457"/>
      <c r="H53" s="1457"/>
      <c r="I53" s="1457"/>
      <c r="J53" s="1457"/>
      <c r="K53" s="1458"/>
      <c r="M53" s="144"/>
      <c r="N53" s="153"/>
      <c r="O53" s="153"/>
      <c r="P53" s="153"/>
    </row>
    <row r="54" spans="2:16" ht="70.5" customHeight="1" x14ac:dyDescent="0.4">
      <c r="B54" s="1447" t="s">
        <v>947</v>
      </c>
      <c r="C54" s="1448"/>
      <c r="D54" s="1448"/>
      <c r="E54" s="1448"/>
      <c r="F54" s="1448"/>
      <c r="G54" s="1448"/>
      <c r="H54" s="1448"/>
      <c r="I54" s="1448"/>
      <c r="J54" s="1448"/>
      <c r="K54" s="1449"/>
      <c r="M54" s="144"/>
      <c r="N54" s="153"/>
      <c r="O54" s="153"/>
      <c r="P54" s="153"/>
    </row>
    <row r="55" spans="2:16" ht="55.5" customHeight="1" x14ac:dyDescent="0.4">
      <c r="B55" s="1453" t="s">
        <v>948</v>
      </c>
      <c r="C55" s="1454"/>
      <c r="D55" s="1454"/>
      <c r="E55" s="1454"/>
      <c r="F55" s="1454"/>
      <c r="G55" s="1454"/>
      <c r="H55" s="1454"/>
      <c r="I55" s="1454"/>
      <c r="J55" s="1454"/>
      <c r="K55" s="1455"/>
      <c r="M55" s="144"/>
      <c r="N55" s="153"/>
      <c r="O55" s="153"/>
      <c r="P55" s="153"/>
    </row>
    <row r="56" spans="2:16" x14ac:dyDescent="0.4">
      <c r="B56" s="448"/>
      <c r="C56" s="449"/>
      <c r="D56" s="449"/>
      <c r="E56" s="969"/>
      <c r="F56" s="971"/>
      <c r="G56" s="971"/>
      <c r="H56" s="971"/>
      <c r="I56" s="971"/>
      <c r="J56" s="971"/>
      <c r="K56" s="989"/>
      <c r="M56" s="144"/>
      <c r="N56" s="153"/>
      <c r="O56" s="153"/>
      <c r="P56" s="153"/>
    </row>
    <row r="57" spans="2:16" x14ac:dyDescent="0.4">
      <c r="B57" s="1459" t="s">
        <v>954</v>
      </c>
      <c r="C57" s="1460"/>
      <c r="D57" s="1460"/>
      <c r="E57" s="1460"/>
      <c r="F57" s="1460"/>
      <c r="G57" s="1460"/>
      <c r="H57" s="1460"/>
      <c r="I57" s="1460"/>
      <c r="J57" s="971"/>
      <c r="K57" s="989"/>
      <c r="M57" s="144"/>
      <c r="N57" s="153"/>
      <c r="O57" s="153"/>
      <c r="P57" s="153"/>
    </row>
    <row r="58" spans="2:16" ht="120" customHeight="1" x14ac:dyDescent="0.4">
      <c r="B58" s="1447" t="s">
        <v>955</v>
      </c>
      <c r="C58" s="1448"/>
      <c r="D58" s="1448"/>
      <c r="E58" s="1448"/>
      <c r="F58" s="1448"/>
      <c r="G58" s="1448"/>
      <c r="H58" s="1448"/>
      <c r="I58" s="1448"/>
      <c r="J58" s="1448"/>
      <c r="K58" s="1449"/>
      <c r="M58" s="144"/>
      <c r="N58" s="153"/>
      <c r="O58" s="153"/>
      <c r="P58" s="153"/>
    </row>
    <row r="59" spans="2:16" x14ac:dyDescent="0.4">
      <c r="B59" s="1473" t="s">
        <v>956</v>
      </c>
      <c r="C59" s="1474"/>
      <c r="D59" s="1474"/>
      <c r="E59" s="1474"/>
      <c r="F59" s="1474"/>
      <c r="G59" s="1474"/>
      <c r="H59" s="1474"/>
      <c r="I59" s="1474"/>
      <c r="J59" s="1474"/>
      <c r="K59" s="1475"/>
      <c r="M59" s="144"/>
      <c r="N59" s="153"/>
      <c r="O59" s="153"/>
      <c r="P59" s="153"/>
    </row>
    <row r="60" spans="2:16" x14ac:dyDescent="0.4">
      <c r="B60" s="1473" t="s">
        <v>950</v>
      </c>
      <c r="C60" s="1474"/>
      <c r="D60" s="1474"/>
      <c r="E60" s="1474"/>
      <c r="F60" s="1474"/>
      <c r="G60" s="1474"/>
      <c r="H60" s="1474"/>
      <c r="I60" s="1474"/>
      <c r="J60" s="1474"/>
      <c r="K60" s="1475"/>
      <c r="M60" s="144"/>
      <c r="N60" s="153"/>
      <c r="O60" s="153"/>
      <c r="P60" s="153"/>
    </row>
    <row r="61" spans="2:16" ht="102" customHeight="1" x14ac:dyDescent="0.4">
      <c r="B61" s="1447" t="s">
        <v>951</v>
      </c>
      <c r="C61" s="1448"/>
      <c r="D61" s="1448"/>
      <c r="E61" s="1448"/>
      <c r="F61" s="1448"/>
      <c r="G61" s="1448"/>
      <c r="H61" s="1448"/>
      <c r="I61" s="1448"/>
      <c r="J61" s="1448"/>
      <c r="K61" s="1449"/>
      <c r="M61" s="144"/>
      <c r="N61" s="153"/>
      <c r="O61" s="153"/>
      <c r="P61" s="153"/>
    </row>
    <row r="62" spans="2:16" ht="102" customHeight="1" x14ac:dyDescent="0.4">
      <c r="B62" s="1447" t="s">
        <v>952</v>
      </c>
      <c r="C62" s="1448"/>
      <c r="D62" s="1448"/>
      <c r="E62" s="1448"/>
      <c r="F62" s="1448"/>
      <c r="G62" s="1448"/>
      <c r="H62" s="1448"/>
      <c r="I62" s="1448"/>
      <c r="J62" s="1448"/>
      <c r="K62" s="1449"/>
      <c r="M62" s="144"/>
      <c r="N62" s="153"/>
      <c r="O62" s="153"/>
      <c r="P62" s="153"/>
    </row>
    <row r="63" spans="2:16" ht="36.75" customHeight="1" x14ac:dyDescent="0.4">
      <c r="B63" s="1447" t="s">
        <v>953</v>
      </c>
      <c r="C63" s="1448"/>
      <c r="D63" s="1448"/>
      <c r="E63" s="1448"/>
      <c r="F63" s="1448"/>
      <c r="G63" s="1448"/>
      <c r="H63" s="1448"/>
      <c r="I63" s="1448"/>
      <c r="J63" s="1448"/>
      <c r="K63" s="1449"/>
      <c r="M63" s="144"/>
      <c r="N63" s="153"/>
      <c r="O63" s="153"/>
      <c r="P63" s="153"/>
    </row>
    <row r="64" spans="2:16" x14ac:dyDescent="0.4">
      <c r="B64" s="448"/>
      <c r="C64" s="449"/>
      <c r="D64" s="449"/>
      <c r="E64" s="969"/>
      <c r="F64" s="971"/>
      <c r="G64" s="971"/>
      <c r="H64" s="971"/>
      <c r="I64" s="971"/>
      <c r="J64" s="971"/>
      <c r="K64" s="989"/>
      <c r="M64" s="144"/>
      <c r="N64" s="153"/>
      <c r="O64" s="153"/>
      <c r="P64" s="153"/>
    </row>
    <row r="65" spans="2:16" x14ac:dyDescent="0.4">
      <c r="B65" s="1042" t="s">
        <v>52</v>
      </c>
      <c r="C65" s="952" t="s">
        <v>34</v>
      </c>
      <c r="D65" s="1005" t="s">
        <v>35</v>
      </c>
      <c r="E65" s="1005" t="s">
        <v>33</v>
      </c>
      <c r="F65" s="971"/>
      <c r="G65" s="971"/>
      <c r="H65" s="971"/>
      <c r="I65" s="971"/>
      <c r="J65" s="971"/>
      <c r="K65" s="989"/>
      <c r="M65" s="144"/>
      <c r="N65" s="153"/>
      <c r="O65" s="153"/>
      <c r="P65" s="153"/>
    </row>
    <row r="66" spans="2:16" ht="16.5" x14ac:dyDescent="0.4">
      <c r="B66" s="470" t="s">
        <v>53</v>
      </c>
      <c r="C66" s="1047" t="str">
        <f>IFERROR(AVERAGE($C$79:$C$81),"")</f>
        <v/>
      </c>
      <c r="D66" s="439" t="s">
        <v>51</v>
      </c>
      <c r="E66" s="974" t="s">
        <v>504</v>
      </c>
      <c r="F66" s="971"/>
      <c r="G66" s="971"/>
      <c r="H66" s="971"/>
      <c r="I66" s="971"/>
      <c r="J66" s="971"/>
      <c r="K66" s="989"/>
      <c r="M66" s="144"/>
      <c r="N66" s="153"/>
      <c r="O66" s="153"/>
      <c r="P66" s="153"/>
    </row>
    <row r="67" spans="2:16" ht="16.5" x14ac:dyDescent="0.4">
      <c r="B67" s="260" t="str">
        <f>IF(OR('General Info &amp; Test Results'!C43="Draft Hood",'General Info &amp; Test Results'!C43="Direct Exhaust",'General Info &amp; Test Results'!C43="Barometric Draft Control",
'General Info &amp; Test Results'!C48="Yes. With Heat Exchange.",'General Info &amp; Test Results'!C48="Yes. Without Heat Exchange."),
"Steady-State Flue Gas Temperature","N/A")</f>
        <v>N/A</v>
      </c>
      <c r="C67" s="1047" t="str">
        <f>IFERROR(AVERAGE($E$79:$E$81),"")</f>
        <v/>
      </c>
      <c r="D67" s="272" t="s">
        <v>51</v>
      </c>
      <c r="E67" s="975" t="s">
        <v>507</v>
      </c>
      <c r="F67" s="971"/>
      <c r="G67" s="971"/>
      <c r="H67" s="971"/>
      <c r="I67" s="971"/>
      <c r="J67" s="971"/>
      <c r="K67" s="989"/>
      <c r="M67" s="144"/>
      <c r="N67" s="153"/>
      <c r="O67" s="153"/>
      <c r="P67" s="153"/>
    </row>
    <row r="68" spans="2:16" ht="16.5" x14ac:dyDescent="0.4">
      <c r="B68" s="437" t="str">
        <f>IF(OR('General Info &amp; Test Results'!C43="Draft Hood",'General Info &amp; Test Results'!C43="Direct Exhaust",'General Info &amp; Test Results'!C43="Barometric Draft Control",
'General Info &amp; Test Results'!C48="Yes. With Heat Exchange.",'General Info &amp; Test Results'!C48="Yes. Without Heat Exchange."),
"Flue Gas Concentration by Volume of CO2","N/A")</f>
        <v>N/A</v>
      </c>
      <c r="C68" s="1047" t="str">
        <f>IFERROR(AVERAGE($J$79:$J$81),"")</f>
        <v/>
      </c>
      <c r="D68" s="443" t="s">
        <v>218</v>
      </c>
      <c r="E68" s="976" t="s">
        <v>514</v>
      </c>
      <c r="F68" s="971"/>
      <c r="G68" s="971"/>
      <c r="H68" s="971"/>
      <c r="I68" s="971"/>
      <c r="J68" s="971"/>
      <c r="K68" s="989"/>
      <c r="M68" s="144"/>
      <c r="N68" s="153"/>
      <c r="O68" s="153"/>
      <c r="P68" s="153"/>
    </row>
    <row r="69" spans="2:16" ht="16.5" x14ac:dyDescent="0.4">
      <c r="B69" s="470" t="str">
        <f>IF(OR('General Info &amp; Test Results'!C43="Integral Draft Diverter"),
"Steady-State Stack Gas Temperature","N/A")</f>
        <v>N/A</v>
      </c>
      <c r="C69" s="1047" t="str">
        <f>IFERROR(AVERAGE($F$79:$F$81),"")</f>
        <v/>
      </c>
      <c r="D69" s="272" t="s">
        <v>51</v>
      </c>
      <c r="E69" s="975" t="s">
        <v>505</v>
      </c>
      <c r="F69" s="971"/>
      <c r="G69" s="971"/>
      <c r="H69" s="971"/>
      <c r="I69" s="971"/>
      <c r="J69" s="971"/>
      <c r="K69" s="989"/>
      <c r="M69" s="144"/>
      <c r="N69" s="153"/>
      <c r="O69" s="153"/>
      <c r="P69" s="153"/>
    </row>
    <row r="70" spans="2:16" ht="16.5" x14ac:dyDescent="0.4">
      <c r="B70" s="475" t="str">
        <f>IF(OR('General Info &amp; Test Results'!C43="Draft Hood"),
"Stack Gas Concentration by Volume of CO2","N/A")</f>
        <v>N/A</v>
      </c>
      <c r="C70" s="1047" t="str">
        <f>IFERROR(AVERAGE($K$79:$K$81),"")</f>
        <v/>
      </c>
      <c r="D70" s="474" t="s">
        <v>218</v>
      </c>
      <c r="E70" s="977" t="s">
        <v>515</v>
      </c>
      <c r="F70" s="971"/>
      <c r="G70" s="971"/>
      <c r="H70" s="971"/>
      <c r="I70" s="971"/>
      <c r="J70" s="971"/>
      <c r="K70" s="989"/>
      <c r="M70" s="144"/>
      <c r="N70" s="153"/>
      <c r="O70" s="153"/>
      <c r="P70" s="153"/>
    </row>
    <row r="71" spans="2:16" x14ac:dyDescent="0.4">
      <c r="B71" s="458"/>
      <c r="C71" s="469"/>
      <c r="D71" s="292"/>
      <c r="E71" s="1006"/>
      <c r="F71" s="971"/>
      <c r="G71" s="971"/>
      <c r="H71" s="971"/>
      <c r="I71" s="971"/>
      <c r="J71" s="971"/>
      <c r="K71" s="989"/>
      <c r="M71" s="144"/>
      <c r="N71" s="153"/>
      <c r="O71" s="153"/>
      <c r="P71" s="153"/>
    </row>
    <row r="72" spans="2:16" ht="17.25" customHeight="1" x14ac:dyDescent="0.4">
      <c r="B72" s="1043"/>
      <c r="C72" s="1026" t="s">
        <v>958</v>
      </c>
      <c r="D72" s="1027"/>
      <c r="E72" s="1027"/>
      <c r="F72" s="1027"/>
      <c r="G72" s="990"/>
      <c r="H72" s="971"/>
      <c r="I72" s="971"/>
      <c r="J72" s="971"/>
      <c r="K72" s="989"/>
      <c r="M72" s="144"/>
      <c r="N72" s="153"/>
      <c r="O72" s="153"/>
      <c r="P72" s="153"/>
    </row>
    <row r="73" spans="2:16" x14ac:dyDescent="0.4">
      <c r="B73" s="1007" t="s">
        <v>957</v>
      </c>
      <c r="C73" s="586"/>
      <c r="D73" s="1028" t="str">
        <f>IF('General Info &amp; Test Results'!$C$49="","",5)</f>
        <v/>
      </c>
      <c r="E73" s="1028" t="str">
        <f>IF(OR('General Info &amp; Test Results'!$C$43="",'General Info &amp; Test Results'!$C$49=""),"",
IF('General Info &amp; Test Results'!$C$49="Condensing",1,
IF(OR('General Info &amp; Test Results'!$C$43="Direct Exhaust",'General Info &amp; Test Results'!$C$43="Draft Hood",'General Info &amp; Test Results'!$C$48="Yes. With Heat Exchange.",'General Info &amp; Test Results'!C48="Yes. Without Heat Exchange."),5,
"None")))</f>
        <v/>
      </c>
      <c r="F73" s="1029" t="str">
        <f>IF('General Info &amp; Test Results'!$C$43="","",IF('General Info &amp; Test Results'!$C$43="Integral Draft Diverter",3,"None"))</f>
        <v/>
      </c>
      <c r="G73" s="1029" t="str">
        <f>IF(OR('General Info &amp; Test Results'!$C$38="",'General Info &amp; Test Results'!$C$49=""),"",
IF('General Info &amp; Test Results'!$C$38="Water",IF('General Info &amp; Test Results'!$C$49="Condensing",1,4),"None"))</f>
        <v/>
      </c>
      <c r="H73" s="971"/>
      <c r="I73" s="971"/>
      <c r="J73" s="971"/>
      <c r="K73" s="447"/>
      <c r="M73" s="144"/>
      <c r="N73" s="153"/>
      <c r="O73" s="153"/>
      <c r="P73" s="153"/>
    </row>
    <row r="74" spans="2:16" x14ac:dyDescent="0.4">
      <c r="B74" s="1025" t="s">
        <v>269</v>
      </c>
      <c r="C74" s="1028" t="str">
        <f>IF('General Info &amp; Test Results'!$C$49="","",65)</f>
        <v/>
      </c>
      <c r="D74" s="1028" t="str">
        <f>IF('General Info &amp; Test Results'!$C$49="","",AVERAGE($C$79:$C$81)-D73)</f>
        <v/>
      </c>
      <c r="E74" s="1030"/>
      <c r="F74" s="1031"/>
      <c r="G74" s="1031"/>
      <c r="H74" s="971"/>
      <c r="I74" s="971"/>
      <c r="J74" s="971"/>
      <c r="K74" s="447"/>
      <c r="M74" s="144"/>
      <c r="N74" s="153"/>
      <c r="O74" s="153"/>
      <c r="P74" s="153"/>
    </row>
    <row r="75" spans="2:16" x14ac:dyDescent="0.4">
      <c r="B75" s="1025" t="s">
        <v>270</v>
      </c>
      <c r="C75" s="1028" t="str">
        <f>IF('General Info &amp; Test Results'!$C$49="","",IF('General Info &amp; Test Results'!$C$49="Condensing",85,100))</f>
        <v/>
      </c>
      <c r="D75" s="1028" t="str">
        <f>IF('General Info &amp; Test Results'!$C$49="","",AVERAGE($C$79:$C$81)+D73)</f>
        <v/>
      </c>
      <c r="E75" s="1030"/>
      <c r="F75" s="1031"/>
      <c r="G75" s="1031"/>
      <c r="H75" s="971"/>
      <c r="I75" s="971"/>
      <c r="J75" s="971"/>
      <c r="K75" s="447"/>
      <c r="M75" s="144"/>
      <c r="N75" s="153"/>
      <c r="O75" s="153"/>
      <c r="P75" s="153"/>
    </row>
    <row r="76" spans="2:16" x14ac:dyDescent="0.4">
      <c r="B76" s="434" t="s">
        <v>395</v>
      </c>
      <c r="C76" s="471" t="str">
        <f>IF(C74="","",
IF(AND(MAX(C79:C81)&lt;=C75,MIN(C79:C81))&gt;=C74,"Yes","No")
)</f>
        <v/>
      </c>
      <c r="D76" s="471" t="str">
        <f>IF(D74="","",
IF(AND(MAX(D79:D81)&lt;=D75,MIN(D79:D81))&gt;=D74,"Yes","No")
)</f>
        <v/>
      </c>
      <c r="E76" s="471" t="str">
        <f>IF(E73="","",IF(E73="None","Yes",
IF(ABS(MAX(E79:E81)-MIN(E79:E81))&lt;=E73,"Yes","No")
))</f>
        <v/>
      </c>
      <c r="F76" s="471" t="str">
        <f t="shared" ref="F76" si="0">IF(F73="","",IF(F73="None","Yes",
IF(ABS(MAX(F79:F81)-MIN(F79:F81))&lt;=F73,"Yes","No")
))</f>
        <v/>
      </c>
      <c r="G76" s="471" t="str">
        <f>IF(G73="","",IF(G73="None","Yes",
IF(ABS(MAX(G79:G81)-MIN(G79:G81))&lt;=G73,"Yes","No")
))</f>
        <v/>
      </c>
      <c r="H76" s="971"/>
      <c r="I76" s="971"/>
      <c r="J76" s="971"/>
      <c r="K76" s="447"/>
      <c r="M76" s="144"/>
      <c r="N76" s="153"/>
      <c r="O76" s="153"/>
      <c r="P76" s="153"/>
    </row>
    <row r="77" spans="2:16" x14ac:dyDescent="0.4">
      <c r="B77" s="1044"/>
      <c r="C77" s="835"/>
      <c r="D77" s="950"/>
      <c r="E77" s="1024"/>
      <c r="F77" s="1024"/>
      <c r="G77" s="1024"/>
      <c r="H77" s="950"/>
      <c r="I77" s="971"/>
      <c r="J77" s="971"/>
      <c r="K77" s="447"/>
      <c r="M77" s="144"/>
      <c r="N77" s="153"/>
      <c r="O77" s="153"/>
      <c r="P77" s="153"/>
    </row>
    <row r="78" spans="2:16" ht="62" x14ac:dyDescent="0.4">
      <c r="B78" s="480" t="s">
        <v>181</v>
      </c>
      <c r="C78" s="457" t="s">
        <v>944</v>
      </c>
      <c r="D78" s="457" t="s">
        <v>945</v>
      </c>
      <c r="E78" s="457" t="s">
        <v>56</v>
      </c>
      <c r="F78" s="457" t="s">
        <v>392</v>
      </c>
      <c r="G78" s="457" t="s">
        <v>393</v>
      </c>
      <c r="H78" s="457" t="s">
        <v>941</v>
      </c>
      <c r="I78" s="1009" t="s">
        <v>942</v>
      </c>
      <c r="J78" s="457" t="s">
        <v>959</v>
      </c>
      <c r="K78" s="991" t="s">
        <v>960</v>
      </c>
      <c r="M78" s="144"/>
      <c r="N78" s="153"/>
      <c r="P78" s="153"/>
    </row>
    <row r="79" spans="2:16" x14ac:dyDescent="0.4">
      <c r="B79" s="433">
        <v>0</v>
      </c>
      <c r="C79" s="288"/>
      <c r="D79" s="288"/>
      <c r="E79" s="288"/>
      <c r="F79" s="288"/>
      <c r="G79" s="192"/>
      <c r="H79" s="111"/>
      <c r="I79" s="1049" t="str">
        <f>IF(OR(H79="",G79=""),"",G79-H79)</f>
        <v/>
      </c>
      <c r="J79" s="111"/>
      <c r="K79" s="111"/>
      <c r="M79" s="144"/>
      <c r="N79" s="153"/>
      <c r="P79" s="153"/>
    </row>
    <row r="80" spans="2:16" x14ac:dyDescent="0.4">
      <c r="B80" s="279">
        <v>15</v>
      </c>
      <c r="C80" s="288"/>
      <c r="D80" s="111"/>
      <c r="E80" s="288"/>
      <c r="F80" s="288"/>
      <c r="G80" s="192"/>
      <c r="H80" s="111"/>
      <c r="I80" s="1049" t="str">
        <f>IF(OR(H80="",G80=""),"",G80-H80)</f>
        <v/>
      </c>
      <c r="J80" s="111"/>
      <c r="K80" s="111"/>
      <c r="M80" s="144"/>
      <c r="N80" s="153"/>
      <c r="P80" s="153"/>
    </row>
    <row r="81" spans="2:16" ht="16" thickBot="1" x14ac:dyDescent="0.45">
      <c r="B81" s="280">
        <v>30</v>
      </c>
      <c r="C81" s="288"/>
      <c r="D81" s="121"/>
      <c r="E81" s="288"/>
      <c r="F81" s="288"/>
      <c r="G81" s="1010"/>
      <c r="H81" s="121"/>
      <c r="I81" s="1049" t="str">
        <f>IF(OR(H81="",G81=""),"",G81-H81)</f>
        <v/>
      </c>
      <c r="J81" s="111"/>
      <c r="K81" s="111"/>
      <c r="M81" s="144"/>
      <c r="N81" s="744"/>
      <c r="P81" s="153"/>
    </row>
    <row r="82" spans="2:16" ht="16" thickBot="1" x14ac:dyDescent="0.45">
      <c r="B82" s="283" t="str">
        <f>"End: Steady-State Test" &amp; IF('General Info &amp; Test Results'!$C$37="Electricity"," - NOT REQUIRED FOR THIS TEST","")</f>
        <v>End: Steady-State Test</v>
      </c>
      <c r="C82" s="284"/>
      <c r="D82" s="284"/>
      <c r="E82" s="284"/>
      <c r="F82" s="285"/>
      <c r="G82" s="967"/>
      <c r="H82" s="967"/>
      <c r="I82" s="967"/>
      <c r="J82" s="967"/>
      <c r="K82" s="286"/>
      <c r="M82" s="144"/>
      <c r="N82" s="153"/>
      <c r="O82" s="153"/>
      <c r="P82" s="153"/>
    </row>
    <row r="83" spans="2:16" x14ac:dyDescent="0.4">
      <c r="B83" s="444"/>
      <c r="C83" s="138"/>
      <c r="D83" s="138"/>
      <c r="E83" s="138"/>
      <c r="M83" s="144"/>
      <c r="N83" s="153"/>
      <c r="O83" s="153"/>
      <c r="P83" s="153"/>
    </row>
    <row r="84" spans="2:16" ht="16" thickBot="1" x14ac:dyDescent="0.45">
      <c r="B84" s="444"/>
      <c r="C84" s="138"/>
      <c r="D84" s="138"/>
      <c r="E84" s="138"/>
      <c r="M84" s="144"/>
      <c r="N84" s="153"/>
      <c r="O84" s="153"/>
      <c r="P84" s="153"/>
    </row>
    <row r="85" spans="2:16" ht="16" thickBot="1" x14ac:dyDescent="0.45">
      <c r="B85" s="1409" t="str">
        <f>"ASHRAE 103-1993, Section 9.1.3: Direct Measurement of the S/F Factors for Furnaces and Boilers with Barometric Draft Regulators" &amp; IF('General Info &amp; Test Results'!$C$44="Yes",""," - NOT REQUIRED FOR THIS TEST")</f>
        <v>ASHRAE 103-1993, Section 9.1.3: Direct Measurement of the S/F Factors for Furnaces and Boilers with Barometric Draft Regulators - NOT REQUIRED FOR THIS TEST</v>
      </c>
      <c r="C85" s="1410"/>
      <c r="D85" s="1410"/>
      <c r="E85" s="1410"/>
      <c r="F85" s="1410"/>
      <c r="G85" s="1410"/>
      <c r="H85" s="1410"/>
      <c r="I85" s="1410"/>
      <c r="J85" s="1410"/>
      <c r="K85" s="1411"/>
      <c r="M85" s="144"/>
      <c r="N85" s="153"/>
      <c r="O85" s="153"/>
      <c r="P85" s="153"/>
    </row>
    <row r="86" spans="2:16" ht="155.25" customHeight="1" thickBot="1" x14ac:dyDescent="0.45">
      <c r="B86" s="1450" t="s">
        <v>967</v>
      </c>
      <c r="C86" s="1451"/>
      <c r="D86" s="1451"/>
      <c r="E86" s="1451"/>
      <c r="F86" s="1451"/>
      <c r="G86" s="1451"/>
      <c r="H86" s="1451"/>
      <c r="I86" s="1451"/>
      <c r="J86" s="1451"/>
      <c r="K86" s="1452"/>
      <c r="M86" s="144"/>
      <c r="N86" s="153"/>
      <c r="O86" s="153"/>
      <c r="P86" s="153"/>
    </row>
    <row r="87" spans="2:16" x14ac:dyDescent="0.4">
      <c r="B87" s="446"/>
      <c r="C87" s="444"/>
      <c r="D87" s="444"/>
      <c r="E87" s="444"/>
      <c r="F87" s="971"/>
      <c r="G87" s="971"/>
      <c r="H87" s="971"/>
      <c r="I87" s="971"/>
      <c r="J87" s="971"/>
      <c r="K87" s="989"/>
      <c r="M87" s="144"/>
      <c r="N87" s="153"/>
      <c r="O87" s="153"/>
      <c r="P87" s="153"/>
    </row>
    <row r="88" spans="2:16" ht="16" thickBot="1" x14ac:dyDescent="0.45">
      <c r="B88" s="1106" t="s">
        <v>1000</v>
      </c>
      <c r="C88" s="1011"/>
      <c r="D88" s="1011"/>
      <c r="E88" s="1011"/>
      <c r="F88" s="1063"/>
      <c r="G88" s="1063"/>
      <c r="H88" s="1063"/>
      <c r="I88" s="1063"/>
      <c r="J88" s="1063"/>
      <c r="K88" s="988"/>
      <c r="M88" s="144"/>
      <c r="N88" s="153"/>
      <c r="O88" s="153"/>
      <c r="P88" s="153"/>
    </row>
    <row r="89" spans="2:16" x14ac:dyDescent="0.4">
      <c r="B89" s="444"/>
      <c r="C89" s="138"/>
      <c r="D89" s="138"/>
      <c r="E89" s="138"/>
      <c r="M89" s="144"/>
      <c r="N89" s="153"/>
      <c r="O89" s="153"/>
      <c r="P89" s="153"/>
    </row>
    <row r="90" spans="2:16" ht="16" thickBot="1" x14ac:dyDescent="0.45">
      <c r="B90" s="444"/>
      <c r="C90" s="138"/>
      <c r="D90" s="138"/>
      <c r="E90" s="138"/>
      <c r="M90" s="144"/>
      <c r="N90" s="153"/>
      <c r="O90" s="153"/>
      <c r="P90" s="153"/>
    </row>
    <row r="91" spans="2:16" ht="34.5" customHeight="1" thickBot="1" x14ac:dyDescent="0.45">
      <c r="B91" s="1409" t="str">
        <f>"ASHRAE 103-1993, Section 9.2 OR Appendix N, Section 8.4:" &amp; CHAR(10)
&amp; "Condensing Furnaces and Boilers, Measurement of Condensate Under Steady-State Conditions" &amp; IF('General Info &amp; Test Results'!C49="Non-Condensing"," - NOT REQUIRED FOR THIS TEST","")</f>
        <v>ASHRAE 103-1993, Section 9.2 OR Appendix N, Section 8.4:
Condensing Furnaces and Boilers, Measurement of Condensate Under Steady-State Conditions</v>
      </c>
      <c r="C91" s="1410"/>
      <c r="D91" s="1410"/>
      <c r="E91" s="1410"/>
      <c r="F91" s="1410"/>
      <c r="G91" s="1410"/>
      <c r="H91" s="1410"/>
      <c r="I91" s="1410"/>
      <c r="J91" s="1410"/>
      <c r="K91" s="1411"/>
      <c r="M91" s="144"/>
      <c r="N91" s="153"/>
      <c r="O91" s="153"/>
      <c r="P91" s="153"/>
    </row>
    <row r="92" spans="2:16" ht="153.75" customHeight="1" x14ac:dyDescent="0.4">
      <c r="B92" s="1432" t="s">
        <v>904</v>
      </c>
      <c r="C92" s="1433"/>
      <c r="D92" s="1433"/>
      <c r="E92" s="1433"/>
      <c r="F92" s="1433"/>
      <c r="G92" s="1433"/>
      <c r="H92" s="1433"/>
      <c r="I92" s="1433"/>
      <c r="J92" s="1433"/>
      <c r="K92" s="1434"/>
      <c r="M92" s="144"/>
      <c r="N92" s="153"/>
      <c r="O92" s="153"/>
      <c r="P92" s="153"/>
    </row>
    <row r="93" spans="2:16" x14ac:dyDescent="0.4">
      <c r="B93" s="440" t="s">
        <v>52</v>
      </c>
      <c r="C93" s="441" t="s">
        <v>34</v>
      </c>
      <c r="D93" s="442" t="s">
        <v>35</v>
      </c>
      <c r="E93" s="442" t="s">
        <v>33</v>
      </c>
      <c r="F93" s="971"/>
      <c r="G93" s="971"/>
      <c r="H93" s="971"/>
      <c r="I93" s="971"/>
      <c r="J93" s="971"/>
      <c r="K93" s="989"/>
      <c r="M93" s="144"/>
      <c r="N93" s="153"/>
      <c r="O93" s="153"/>
      <c r="P93" s="153"/>
    </row>
    <row r="94" spans="2:16" s="130" customFormat="1" x14ac:dyDescent="0.4">
      <c r="B94" s="260" t="s">
        <v>261</v>
      </c>
      <c r="C94" s="188"/>
      <c r="D94" s="287" t="s">
        <v>218</v>
      </c>
      <c r="E94" s="1035" t="s">
        <v>178</v>
      </c>
      <c r="F94" s="587"/>
      <c r="G94" s="587"/>
      <c r="H94" s="587"/>
      <c r="I94" s="587"/>
      <c r="J94" s="587"/>
      <c r="K94" s="637"/>
      <c r="M94" s="131"/>
    </row>
    <row r="95" spans="2:16" x14ac:dyDescent="0.4">
      <c r="B95" s="260" t="s">
        <v>79</v>
      </c>
      <c r="C95" s="533" t="str">
        <f>IF(C94="","",IF(C94&gt;80, "No","Yes"))</f>
        <v/>
      </c>
      <c r="D95" s="272" t="s">
        <v>178</v>
      </c>
      <c r="E95" s="975" t="s">
        <v>178</v>
      </c>
      <c r="F95" s="971"/>
      <c r="G95" s="971"/>
      <c r="H95" s="971"/>
      <c r="I95" s="971"/>
      <c r="J95" s="971"/>
      <c r="K95" s="989"/>
      <c r="M95" s="144"/>
    </row>
    <row r="96" spans="2:16" ht="17.5" x14ac:dyDescent="0.4">
      <c r="B96" s="260" t="s">
        <v>61</v>
      </c>
      <c r="C96" s="122" t="str">
        <f>IF('Test Conditions'!D17="", "",'Test Conditions'!D17)</f>
        <v/>
      </c>
      <c r="D96" s="271" t="s">
        <v>258</v>
      </c>
      <c r="E96" s="975" t="s">
        <v>59</v>
      </c>
      <c r="F96" s="506"/>
      <c r="G96" s="506"/>
      <c r="H96" s="506"/>
      <c r="I96" s="506"/>
      <c r="J96" s="506"/>
      <c r="K96" s="1036"/>
      <c r="L96" s="133"/>
      <c r="M96" s="144"/>
    </row>
    <row r="97" spans="2:13" ht="16.5" x14ac:dyDescent="0.4">
      <c r="B97" s="330" t="s">
        <v>547</v>
      </c>
      <c r="C97" s="111"/>
      <c r="D97" s="271" t="s">
        <v>80</v>
      </c>
      <c r="E97" s="975" t="s">
        <v>714</v>
      </c>
      <c r="F97" s="444"/>
      <c r="G97" s="444"/>
      <c r="H97" s="444"/>
      <c r="I97" s="444"/>
      <c r="J97" s="444"/>
      <c r="K97" s="447"/>
      <c r="L97" s="138"/>
      <c r="M97" s="145"/>
    </row>
    <row r="98" spans="2:13" x14ac:dyDescent="0.4">
      <c r="B98" s="260" t="s">
        <v>77</v>
      </c>
      <c r="C98" s="111"/>
      <c r="D98" s="271" t="s">
        <v>76</v>
      </c>
      <c r="E98" s="975" t="s">
        <v>178</v>
      </c>
      <c r="F98" s="1032"/>
      <c r="G98" s="1032"/>
      <c r="H98" s="1032"/>
      <c r="I98" s="1032"/>
      <c r="J98" s="1032"/>
      <c r="K98" s="1037"/>
      <c r="L98" s="154"/>
      <c r="M98" s="155"/>
    </row>
    <row r="99" spans="2:13" x14ac:dyDescent="0.4">
      <c r="B99" s="260" t="s">
        <v>78</v>
      </c>
      <c r="C99" s="111"/>
      <c r="D99" s="272" t="s">
        <v>76</v>
      </c>
      <c r="E99" s="975" t="s">
        <v>178</v>
      </c>
      <c r="F99" s="1032"/>
      <c r="G99" s="1032"/>
      <c r="H99" s="1032"/>
      <c r="I99" s="1032"/>
      <c r="J99" s="1032"/>
      <c r="K99" s="1037"/>
      <c r="L99" s="154"/>
      <c r="M99" s="155"/>
    </row>
    <row r="100" spans="2:13" ht="17" thickBot="1" x14ac:dyDescent="0.45">
      <c r="B100" s="289" t="s">
        <v>260</v>
      </c>
      <c r="C100" s="123" t="str">
        <f>IF(C98-C99=0,"",C98-C99)</f>
        <v/>
      </c>
      <c r="D100" s="276" t="s">
        <v>76</v>
      </c>
      <c r="E100" s="1038" t="s">
        <v>715</v>
      </c>
      <c r="F100" s="1039"/>
      <c r="G100" s="1040"/>
      <c r="H100" s="1040"/>
      <c r="I100" s="1040"/>
      <c r="J100" s="1040"/>
      <c r="K100" s="1041"/>
      <c r="L100" s="154"/>
      <c r="M100" s="155"/>
    </row>
    <row r="101" spans="2:13" x14ac:dyDescent="0.4">
      <c r="B101" s="290"/>
      <c r="C101" s="291"/>
      <c r="D101" s="278"/>
      <c r="E101" s="278"/>
      <c r="F101" s="133"/>
      <c r="G101" s="133"/>
      <c r="H101" s="133"/>
      <c r="I101" s="133"/>
      <c r="J101" s="133"/>
      <c r="K101" s="133"/>
      <c r="L101" s="133"/>
      <c r="M101" s="155"/>
    </row>
    <row r="102" spans="2:13" ht="16" thickBot="1" x14ac:dyDescent="0.45">
      <c r="B102" s="290"/>
      <c r="C102" s="291"/>
      <c r="D102" s="278"/>
      <c r="E102" s="278"/>
      <c r="F102" s="133"/>
      <c r="G102" s="133"/>
      <c r="H102" s="133"/>
      <c r="I102" s="133"/>
      <c r="J102" s="133"/>
      <c r="K102" s="133"/>
      <c r="L102" s="133"/>
      <c r="M102" s="155"/>
    </row>
    <row r="103" spans="2:13" ht="18" customHeight="1" thickBot="1" x14ac:dyDescent="0.45">
      <c r="B103" s="1409" t="str">
        <f>"ASHRAE 103-1993, Section 9.4: Electric Boilers" &amp; IF(OR('General Info &amp; Test Results'!C37="Electricity",'General Info &amp; Test Results'!C37=""),""," - NOT REQUIRED FOR THIS TEST")</f>
        <v>ASHRAE 103-1993, Section 9.4: Electric Boilers</v>
      </c>
      <c r="C103" s="1410"/>
      <c r="D103" s="1410"/>
      <c r="E103" s="1410"/>
      <c r="F103" s="1410"/>
      <c r="G103" s="1410"/>
      <c r="H103" s="1410"/>
      <c r="I103" s="1410"/>
      <c r="J103" s="1410"/>
      <c r="K103" s="1411"/>
      <c r="L103" s="133"/>
      <c r="M103" s="155"/>
    </row>
    <row r="104" spans="2:13" ht="33.75" customHeight="1" x14ac:dyDescent="0.4">
      <c r="B104" s="1412" t="s">
        <v>867</v>
      </c>
      <c r="C104" s="1413"/>
      <c r="D104" s="1413"/>
      <c r="E104" s="1413"/>
      <c r="F104" s="1413"/>
      <c r="G104" s="1413"/>
      <c r="H104" s="1413"/>
      <c r="I104" s="1413"/>
      <c r="J104" s="1413"/>
      <c r="K104" s="1414"/>
      <c r="L104" s="133"/>
      <c r="M104" s="155"/>
    </row>
    <row r="105" spans="2:13" x14ac:dyDescent="0.4">
      <c r="B105" s="440" t="s">
        <v>52</v>
      </c>
      <c r="C105" s="441" t="s">
        <v>34</v>
      </c>
      <c r="D105" s="968" t="s">
        <v>35</v>
      </c>
      <c r="E105" s="1005" t="s">
        <v>33</v>
      </c>
      <c r="F105" s="506"/>
      <c r="G105" s="506"/>
      <c r="H105" s="506"/>
      <c r="I105" s="506"/>
      <c r="J105" s="506"/>
      <c r="K105" s="1036"/>
      <c r="L105" s="133"/>
      <c r="M105" s="155"/>
    </row>
    <row r="106" spans="2:13" ht="16.5" x14ac:dyDescent="0.4">
      <c r="B106" s="784" t="s">
        <v>424</v>
      </c>
      <c r="C106" s="111"/>
      <c r="D106" s="777" t="str">
        <f>IF('General Info &amp; Test Results'!$C$37="Electricity","kW","Btu/h")</f>
        <v>Btu/h</v>
      </c>
      <c r="E106" s="1052" t="s">
        <v>713</v>
      </c>
      <c r="F106" s="506"/>
      <c r="G106" s="506"/>
      <c r="H106" s="506"/>
      <c r="I106" s="506"/>
      <c r="J106" s="506"/>
      <c r="K106" s="1036"/>
      <c r="L106" s="133"/>
      <c r="M106" s="155"/>
    </row>
    <row r="107" spans="2:13" x14ac:dyDescent="0.4">
      <c r="B107" s="783" t="s">
        <v>423</v>
      </c>
      <c r="C107" s="471" t="str">
        <f>IF(OR(C110="",C111="",C112=""),"",IF(ABS(MIN(C110:C112)-MAX(C110:C112))&lt;=4,"Yes","No"))</f>
        <v/>
      </c>
      <c r="D107" s="782" t="s">
        <v>178</v>
      </c>
      <c r="E107" s="1053" t="s">
        <v>178</v>
      </c>
      <c r="F107" s="506"/>
      <c r="G107" s="506"/>
      <c r="H107" s="506"/>
      <c r="I107" s="506"/>
      <c r="J107" s="506"/>
      <c r="K107" s="1036"/>
      <c r="L107" s="133"/>
      <c r="M107" s="155"/>
    </row>
    <row r="108" spans="2:13" x14ac:dyDescent="0.4">
      <c r="B108" s="451"/>
      <c r="C108" s="292"/>
      <c r="D108" s="452"/>
      <c r="E108" s="452"/>
      <c r="F108" s="506"/>
      <c r="G108" s="506"/>
      <c r="H108" s="506"/>
      <c r="I108" s="506"/>
      <c r="J108" s="506"/>
      <c r="K108" s="1036"/>
      <c r="L108" s="133"/>
      <c r="M108" s="155"/>
    </row>
    <row r="109" spans="2:13" x14ac:dyDescent="0.4">
      <c r="B109" s="480" t="s">
        <v>181</v>
      </c>
      <c r="C109" s="457" t="s">
        <v>393</v>
      </c>
      <c r="D109" s="452"/>
      <c r="E109" s="452"/>
      <c r="F109" s="506"/>
      <c r="G109" s="506"/>
      <c r="H109" s="506"/>
      <c r="I109" s="506"/>
      <c r="J109" s="506"/>
      <c r="K109" s="1036"/>
      <c r="L109" s="133"/>
      <c r="M109" s="155"/>
    </row>
    <row r="110" spans="2:13" x14ac:dyDescent="0.4">
      <c r="B110" s="433">
        <v>0</v>
      </c>
      <c r="C110" s="111"/>
      <c r="D110" s="452"/>
      <c r="E110" s="452"/>
      <c r="F110" s="506"/>
      <c r="G110" s="506"/>
      <c r="H110" s="506"/>
      <c r="I110" s="506"/>
      <c r="J110" s="506"/>
      <c r="K110" s="1036"/>
      <c r="L110" s="133"/>
      <c r="M110" s="155"/>
    </row>
    <row r="111" spans="2:13" x14ac:dyDescent="0.4">
      <c r="B111" s="279">
        <v>15</v>
      </c>
      <c r="C111" s="111"/>
      <c r="D111" s="452"/>
      <c r="E111" s="452"/>
      <c r="F111" s="506"/>
      <c r="G111" s="506"/>
      <c r="H111" s="506"/>
      <c r="I111" s="506"/>
      <c r="J111" s="506"/>
      <c r="K111" s="1036"/>
      <c r="L111" s="133"/>
      <c r="M111" s="155"/>
    </row>
    <row r="112" spans="2:13" ht="16" thickBot="1" x14ac:dyDescent="0.45">
      <c r="B112" s="280">
        <v>30</v>
      </c>
      <c r="C112" s="121"/>
      <c r="D112" s="481"/>
      <c r="E112" s="481"/>
      <c r="F112" s="1050"/>
      <c r="G112" s="1050"/>
      <c r="H112" s="1050"/>
      <c r="I112" s="1050"/>
      <c r="J112" s="1050"/>
      <c r="K112" s="1051"/>
      <c r="L112" s="133"/>
      <c r="M112" s="155"/>
    </row>
    <row r="113" spans="2:13" x14ac:dyDescent="0.4">
      <c r="B113" s="290"/>
      <c r="C113" s="291"/>
      <c r="D113" s="278"/>
      <c r="E113" s="278"/>
      <c r="F113" s="133"/>
      <c r="G113" s="133"/>
      <c r="H113" s="133"/>
      <c r="I113" s="133"/>
      <c r="J113" s="133"/>
      <c r="K113" s="133"/>
      <c r="L113" s="133"/>
      <c r="M113" s="155"/>
    </row>
    <row r="114" spans="2:13" ht="16" thickBot="1" x14ac:dyDescent="0.45">
      <c r="B114" s="290"/>
      <c r="C114" s="291"/>
      <c r="D114" s="278"/>
      <c r="E114" s="278"/>
      <c r="F114" s="133"/>
      <c r="G114" s="133"/>
      <c r="H114" s="133"/>
      <c r="I114" s="133"/>
      <c r="J114" s="133"/>
      <c r="K114" s="133"/>
      <c r="L114" s="133"/>
      <c r="M114" s="155"/>
    </row>
    <row r="115" spans="2:13" ht="18.75" customHeight="1" thickBot="1" x14ac:dyDescent="0.45">
      <c r="B115" s="1409" t="str">
        <f>"Cool-Down Test" &amp; IF('General Info &amp; Test Results'!$C$37="Electricity"," - NOT REQUIRED FOR THIS TEST","")</f>
        <v>Cool-Down Test</v>
      </c>
      <c r="C115" s="1410"/>
      <c r="D115" s="1410"/>
      <c r="E115" s="1410"/>
      <c r="F115" s="1410"/>
      <c r="G115" s="1410"/>
      <c r="H115" s="1410"/>
      <c r="I115" s="1410"/>
      <c r="J115" s="1410"/>
      <c r="K115" s="1411"/>
      <c r="L115" s="133"/>
      <c r="M115" s="155"/>
    </row>
    <row r="116" spans="2:13" ht="67.5" customHeight="1" x14ac:dyDescent="0.4">
      <c r="B116" s="1423" t="s">
        <v>899</v>
      </c>
      <c r="C116" s="1424"/>
      <c r="D116" s="1424"/>
      <c r="E116" s="1424"/>
      <c r="F116" s="1424"/>
      <c r="G116" s="1424"/>
      <c r="H116" s="1424"/>
      <c r="I116" s="1424"/>
      <c r="J116" s="1424"/>
      <c r="K116" s="1425"/>
      <c r="L116" s="133"/>
      <c r="M116" s="155"/>
    </row>
    <row r="117" spans="2:13" x14ac:dyDescent="0.4">
      <c r="B117" s="818"/>
      <c r="C117" s="817"/>
      <c r="D117" s="817"/>
      <c r="E117" s="817"/>
      <c r="F117" s="506"/>
      <c r="G117" s="506"/>
      <c r="H117" s="506"/>
      <c r="I117" s="506"/>
      <c r="J117" s="506"/>
      <c r="K117" s="1036"/>
      <c r="L117" s="133"/>
      <c r="M117" s="155"/>
    </row>
    <row r="118" spans="2:13" ht="190.5" customHeight="1" x14ac:dyDescent="0.4">
      <c r="B118" s="1426" t="s">
        <v>968</v>
      </c>
      <c r="C118" s="1427"/>
      <c r="D118" s="1427"/>
      <c r="E118" s="1427"/>
      <c r="F118" s="1427"/>
      <c r="G118" s="1427"/>
      <c r="H118" s="1427"/>
      <c r="I118" s="1427"/>
      <c r="J118" s="1427"/>
      <c r="K118" s="1428"/>
      <c r="L118" s="133"/>
      <c r="M118" s="155"/>
    </row>
    <row r="119" spans="2:13" x14ac:dyDescent="0.4">
      <c r="B119" s="440" t="s">
        <v>52</v>
      </c>
      <c r="C119" s="441" t="s">
        <v>34</v>
      </c>
      <c r="D119" s="442" t="s">
        <v>35</v>
      </c>
      <c r="E119" s="442" t="s">
        <v>33</v>
      </c>
      <c r="F119" s="506"/>
      <c r="G119" s="506"/>
      <c r="H119" s="506"/>
      <c r="I119" s="506"/>
      <c r="J119" s="506"/>
      <c r="K119" s="1036"/>
      <c r="L119" s="133"/>
      <c r="M119" s="155"/>
    </row>
    <row r="120" spans="2:13" x14ac:dyDescent="0.4">
      <c r="B120" s="451" t="s">
        <v>410</v>
      </c>
      <c r="C120" s="728"/>
      <c r="D120" s="272" t="s">
        <v>178</v>
      </c>
      <c r="E120" s="975" t="s">
        <v>178</v>
      </c>
      <c r="F120" s="506"/>
      <c r="G120" s="506"/>
      <c r="H120" s="506"/>
      <c r="I120" s="506"/>
      <c r="J120" s="506"/>
      <c r="K120" s="1036"/>
      <c r="L120" s="133"/>
      <c r="M120" s="155"/>
    </row>
    <row r="121" spans="2:13" x14ac:dyDescent="0.4">
      <c r="B121" s="330" t="s">
        <v>404</v>
      </c>
      <c r="C121" s="668"/>
      <c r="D121" s="272" t="s">
        <v>36</v>
      </c>
      <c r="E121" s="1014" t="s">
        <v>413</v>
      </c>
      <c r="F121" s="506"/>
      <c r="G121" s="506"/>
      <c r="H121" s="506"/>
      <c r="I121" s="506"/>
      <c r="J121" s="506"/>
      <c r="K121" s="1036"/>
      <c r="L121" s="133"/>
      <c r="M121" s="155"/>
    </row>
    <row r="122" spans="2:13" x14ac:dyDescent="0.4">
      <c r="B122" s="816"/>
      <c r="C122" s="815"/>
      <c r="D122" s="815"/>
      <c r="E122" s="1055"/>
      <c r="F122" s="506"/>
      <c r="G122" s="506"/>
      <c r="H122" s="506"/>
      <c r="I122" s="506"/>
      <c r="J122" s="506"/>
      <c r="K122" s="1036"/>
      <c r="L122" s="133"/>
      <c r="M122" s="155"/>
    </row>
    <row r="123" spans="2:13" x14ac:dyDescent="0.4">
      <c r="B123" s="453" t="s">
        <v>409</v>
      </c>
      <c r="C123" s="111"/>
      <c r="D123" s="271" t="s">
        <v>178</v>
      </c>
      <c r="E123" s="975" t="s">
        <v>178</v>
      </c>
      <c r="F123" s="506"/>
      <c r="G123" s="506"/>
      <c r="H123" s="506"/>
      <c r="I123" s="506"/>
      <c r="J123" s="506"/>
      <c r="K123" s="1036"/>
      <c r="L123" s="133"/>
      <c r="M123" s="155"/>
    </row>
    <row r="124" spans="2:13" ht="16.5" x14ac:dyDescent="0.4">
      <c r="B124" s="451" t="str">
        <f>IF(C123="No","N/A","Post Purge Time")</f>
        <v>Post Purge Time</v>
      </c>
      <c r="C124" s="111"/>
      <c r="D124" s="272" t="s">
        <v>179</v>
      </c>
      <c r="E124" s="975" t="s">
        <v>641</v>
      </c>
      <c r="F124" s="1054" t="s">
        <v>408</v>
      </c>
      <c r="G124" s="506"/>
      <c r="H124" s="506"/>
      <c r="I124" s="506"/>
      <c r="J124" s="506"/>
      <c r="K124" s="1036"/>
      <c r="L124" s="133"/>
      <c r="M124" s="155"/>
    </row>
    <row r="125" spans="2:13" x14ac:dyDescent="0.4">
      <c r="B125" s="816"/>
      <c r="C125" s="815"/>
      <c r="D125" s="815"/>
      <c r="E125" s="1055"/>
      <c r="F125" s="506"/>
      <c r="G125" s="506"/>
      <c r="H125" s="506"/>
      <c r="I125" s="506"/>
      <c r="J125" s="506"/>
      <c r="K125" s="1036"/>
      <c r="L125" s="133"/>
      <c r="M125" s="155"/>
    </row>
    <row r="126" spans="2:13" ht="16.5" x14ac:dyDescent="0.4">
      <c r="B126" s="260" t="str">
        <f>IF(C123="No","N/A","Temperature at the end of the post-purge period")</f>
        <v>Temperature at the end of the post-purge period</v>
      </c>
      <c r="C126" s="111"/>
      <c r="D126" s="272" t="s">
        <v>51</v>
      </c>
      <c r="E126" s="974" t="s">
        <v>716</v>
      </c>
      <c r="F126" s="506"/>
      <c r="G126" s="506"/>
      <c r="H126" s="506"/>
      <c r="I126" s="506"/>
      <c r="J126" s="506"/>
      <c r="K126" s="1036"/>
      <c r="L126" s="133"/>
      <c r="M126" s="155"/>
    </row>
    <row r="127" spans="2:13" ht="16.5" x14ac:dyDescent="0.4">
      <c r="B127" s="260" t="str">
        <f>IF(C123="No","Temperature 3.75 minutes after burner shut-off","Temperature 3.75 minutes after end of post-purge period")</f>
        <v>Temperature 3.75 minutes after end of post-purge period</v>
      </c>
      <c r="C127" s="111"/>
      <c r="D127" s="271" t="s">
        <v>51</v>
      </c>
      <c r="E127" s="974" t="s">
        <v>642</v>
      </c>
      <c r="F127" s="506"/>
      <c r="G127" s="506"/>
      <c r="H127" s="506"/>
      <c r="I127" s="506"/>
      <c r="J127" s="506"/>
      <c r="K127" s="1036"/>
      <c r="L127" s="133"/>
      <c r="M127" s="155"/>
    </row>
    <row r="128" spans="2:13" ht="17" thickBot="1" x14ac:dyDescent="0.45">
      <c r="B128" s="275" t="str">
        <f>IF(C123="No","Temperature 22.5 minutes after burner shut-off","Temperature 22.5 minutes after end of post-purge period")</f>
        <v>Temperature 22.5 minutes after end of post-purge period</v>
      </c>
      <c r="C128" s="121"/>
      <c r="D128" s="276" t="s">
        <v>51</v>
      </c>
      <c r="E128" s="1057" t="s">
        <v>643</v>
      </c>
      <c r="F128" s="1050"/>
      <c r="G128" s="1050"/>
      <c r="H128" s="1050"/>
      <c r="I128" s="1050"/>
      <c r="J128" s="1050"/>
      <c r="K128" s="1051"/>
      <c r="L128" s="133"/>
      <c r="M128" s="155"/>
    </row>
    <row r="129" spans="2:13" ht="16" thickBot="1" x14ac:dyDescent="0.45">
      <c r="B129" s="818"/>
      <c r="C129" s="817"/>
      <c r="D129" s="817"/>
      <c r="E129" s="817"/>
      <c r="F129" s="506"/>
      <c r="G129" s="133"/>
      <c r="H129" s="133"/>
      <c r="I129" s="133"/>
      <c r="J129" s="133"/>
      <c r="K129" s="133"/>
      <c r="L129" s="133"/>
      <c r="M129" s="155"/>
    </row>
    <row r="130" spans="2:13" ht="106.5" customHeight="1" x14ac:dyDescent="0.4">
      <c r="B130" s="1423" t="s">
        <v>900</v>
      </c>
      <c r="C130" s="1424"/>
      <c r="D130" s="1424"/>
      <c r="E130" s="1424"/>
      <c r="F130" s="1424"/>
      <c r="G130" s="1424"/>
      <c r="H130" s="1424"/>
      <c r="I130" s="1424"/>
      <c r="J130" s="1424"/>
      <c r="K130" s="1425"/>
      <c r="L130" s="133"/>
      <c r="M130" s="155"/>
    </row>
    <row r="131" spans="2:13" x14ac:dyDescent="0.4">
      <c r="B131" s="1042" t="s">
        <v>52</v>
      </c>
      <c r="C131" s="952" t="s">
        <v>34</v>
      </c>
      <c r="D131" s="1005" t="s">
        <v>35</v>
      </c>
      <c r="E131" s="1005" t="s">
        <v>33</v>
      </c>
      <c r="F131" s="506"/>
      <c r="G131" s="506"/>
      <c r="H131" s="506"/>
      <c r="I131" s="506"/>
      <c r="J131" s="506"/>
      <c r="K131" s="1036"/>
      <c r="L131" s="133"/>
      <c r="M131" s="155"/>
    </row>
    <row r="132" spans="2:13" ht="16.5" x14ac:dyDescent="0.4">
      <c r="B132" s="260" t="s">
        <v>206</v>
      </c>
      <c r="C132" s="111"/>
      <c r="D132" s="271" t="s">
        <v>51</v>
      </c>
      <c r="E132" s="974" t="s">
        <v>644</v>
      </c>
      <c r="F132" s="506"/>
      <c r="G132" s="506"/>
      <c r="H132" s="506"/>
      <c r="I132" s="506"/>
      <c r="J132" s="506"/>
      <c r="K132" s="1036"/>
      <c r="L132" s="133"/>
      <c r="M132" s="155"/>
    </row>
    <row r="133" spans="2:13" ht="17" thickBot="1" x14ac:dyDescent="0.45">
      <c r="B133" s="289" t="str">
        <f>IF('General Info &amp; Test Results'!C37="Electricity","N/A","Fuel Energy Input Rate to Pilot Light")</f>
        <v>Fuel Energy Input Rate to Pilot Light</v>
      </c>
      <c r="C133" s="121"/>
      <c r="D133" s="276" t="s">
        <v>37</v>
      </c>
      <c r="E133" s="1038" t="s">
        <v>687</v>
      </c>
      <c r="F133" s="1050"/>
      <c r="G133" s="1050"/>
      <c r="H133" s="1050"/>
      <c r="I133" s="1050"/>
      <c r="J133" s="1050"/>
      <c r="K133" s="1051"/>
      <c r="L133" s="133"/>
      <c r="M133" s="155"/>
    </row>
    <row r="134" spans="2:13" ht="16" thickBot="1" x14ac:dyDescent="0.45">
      <c r="B134" s="1033" t="str">
        <f>"End Cool-Down Test" &amp; IF('General Info &amp; Test Results'!$C$37="Electricity"," - NOT REQUIRED FOR THIS TEST","")</f>
        <v>End Cool-Down Test</v>
      </c>
      <c r="C134" s="1034"/>
      <c r="D134" s="1034"/>
      <c r="E134" s="1034"/>
      <c r="F134" s="1034"/>
      <c r="G134" s="1034"/>
      <c r="H134" s="1034"/>
      <c r="I134" s="1034"/>
      <c r="J134" s="1034"/>
      <c r="K134" s="1056"/>
      <c r="L134" s="133"/>
      <c r="M134" s="155"/>
    </row>
    <row r="135" spans="2:13" x14ac:dyDescent="0.4">
      <c r="B135" s="290"/>
      <c r="C135" s="291"/>
      <c r="D135" s="278"/>
      <c r="E135" s="278"/>
      <c r="F135" s="133"/>
      <c r="G135" s="133"/>
      <c r="H135" s="133"/>
      <c r="I135" s="133"/>
      <c r="J135" s="133"/>
      <c r="K135" s="133"/>
      <c r="L135" s="133"/>
      <c r="M135" s="155"/>
    </row>
    <row r="136" spans="2:13" ht="16" thickBot="1" x14ac:dyDescent="0.45">
      <c r="B136" s="290"/>
      <c r="C136" s="291"/>
      <c r="D136" s="278"/>
      <c r="E136" s="278"/>
      <c r="F136" s="133"/>
      <c r="G136" s="133"/>
      <c r="H136" s="133"/>
      <c r="I136" s="133"/>
      <c r="J136" s="133"/>
      <c r="K136" s="133"/>
      <c r="L136" s="133"/>
      <c r="M136" s="155"/>
    </row>
    <row r="137" spans="2:13" ht="16" thickBot="1" x14ac:dyDescent="0.45">
      <c r="B137" s="810" t="str">
        <f>"Heat-Up Test" &amp; IF('General Info &amp; Test Results'!C37="Electricity"," - NOT REQUIRED FOR THIS TEST","")</f>
        <v>Heat-Up Test</v>
      </c>
      <c r="C137" s="811"/>
      <c r="D137" s="812"/>
      <c r="E137" s="985"/>
      <c r="F137" s="985"/>
      <c r="G137" s="985"/>
      <c r="H137" s="985"/>
      <c r="I137" s="985"/>
      <c r="J137" s="985"/>
      <c r="K137" s="813"/>
      <c r="M137" s="144"/>
    </row>
    <row r="138" spans="2:13" ht="120.75" customHeight="1" x14ac:dyDescent="0.4">
      <c r="B138" s="1423" t="s">
        <v>901</v>
      </c>
      <c r="C138" s="1424"/>
      <c r="D138" s="1424"/>
      <c r="E138" s="1424"/>
      <c r="F138" s="1424"/>
      <c r="G138" s="1424"/>
      <c r="H138" s="1424"/>
      <c r="I138" s="1424"/>
      <c r="J138" s="1424"/>
      <c r="K138" s="1425"/>
      <c r="M138" s="144"/>
    </row>
    <row r="139" spans="2:13" x14ac:dyDescent="0.4">
      <c r="B139" s="1042" t="s">
        <v>52</v>
      </c>
      <c r="C139" s="952" t="s">
        <v>34</v>
      </c>
      <c r="D139" s="1005" t="s">
        <v>35</v>
      </c>
      <c r="E139" s="1005" t="s">
        <v>33</v>
      </c>
      <c r="F139" s="972"/>
      <c r="G139" s="971"/>
      <c r="H139" s="971"/>
      <c r="I139" s="971"/>
      <c r="J139" s="971"/>
      <c r="K139" s="989"/>
      <c r="M139" s="144"/>
    </row>
    <row r="140" spans="2:13" ht="16.5" x14ac:dyDescent="0.4">
      <c r="B140" s="260" t="s">
        <v>411</v>
      </c>
      <c r="C140" s="111"/>
      <c r="D140" s="272" t="s">
        <v>51</v>
      </c>
      <c r="E140" s="975" t="s">
        <v>634</v>
      </c>
      <c r="F140" s="972"/>
      <c r="G140" s="971"/>
      <c r="H140" s="971"/>
      <c r="I140" s="971"/>
      <c r="J140" s="971"/>
      <c r="K140" s="989"/>
      <c r="M140" s="144"/>
    </row>
    <row r="141" spans="2:13" ht="17" thickBot="1" x14ac:dyDescent="0.45">
      <c r="B141" s="275" t="s">
        <v>412</v>
      </c>
      <c r="C141" s="121"/>
      <c r="D141" s="276" t="s">
        <v>51</v>
      </c>
      <c r="E141" s="1038" t="s">
        <v>635</v>
      </c>
      <c r="F141" s="1062"/>
      <c r="G141" s="1063"/>
      <c r="H141" s="1063"/>
      <c r="I141" s="1063"/>
      <c r="J141" s="1063"/>
      <c r="K141" s="988"/>
      <c r="M141" s="144"/>
    </row>
    <row r="142" spans="2:13" ht="16" thickBot="1" x14ac:dyDescent="0.45">
      <c r="B142" s="807"/>
      <c r="C142" s="808"/>
      <c r="D142" s="809"/>
      <c r="E142" s="1058"/>
      <c r="F142" s="972"/>
      <c r="G142" s="971"/>
      <c r="H142" s="971"/>
      <c r="I142" s="971"/>
      <c r="J142" s="971"/>
      <c r="K142" s="989"/>
      <c r="M142" s="144"/>
    </row>
    <row r="143" spans="2:13" ht="155.25" customHeight="1" x14ac:dyDescent="0.4">
      <c r="B143" s="1429" t="s">
        <v>889</v>
      </c>
      <c r="C143" s="1430"/>
      <c r="D143" s="1430"/>
      <c r="E143" s="1430"/>
      <c r="F143" s="1430"/>
      <c r="G143" s="1430"/>
      <c r="H143" s="1430"/>
      <c r="I143" s="1430"/>
      <c r="J143" s="1430"/>
      <c r="K143" s="1431"/>
      <c r="M143" s="144"/>
    </row>
    <row r="144" spans="2:13" x14ac:dyDescent="0.4">
      <c r="B144" s="803"/>
      <c r="C144" s="801"/>
      <c r="D144" s="801"/>
      <c r="E144" s="801"/>
      <c r="F144" s="972"/>
      <c r="G144" s="971"/>
      <c r="H144" s="971"/>
      <c r="I144" s="971"/>
      <c r="J144" s="971"/>
      <c r="K144" s="989"/>
      <c r="M144" s="144"/>
    </row>
    <row r="145" spans="2:13" ht="35.25" customHeight="1" x14ac:dyDescent="0.4">
      <c r="B145" s="1461" t="s">
        <v>949</v>
      </c>
      <c r="C145" s="1462"/>
      <c r="D145" s="1462"/>
      <c r="E145" s="1462"/>
      <c r="F145" s="1462"/>
      <c r="G145" s="1462"/>
      <c r="H145" s="1462"/>
      <c r="I145" s="1462"/>
      <c r="J145" s="1462"/>
      <c r="K145" s="1463"/>
      <c r="M145" s="144"/>
    </row>
    <row r="146" spans="2:13" x14ac:dyDescent="0.4">
      <c r="B146" s="803"/>
      <c r="C146" s="801"/>
      <c r="D146" s="801"/>
      <c r="E146" s="801"/>
      <c r="F146" s="972"/>
      <c r="G146" s="971"/>
      <c r="H146" s="971"/>
      <c r="I146" s="971"/>
      <c r="J146" s="971"/>
      <c r="K146" s="989"/>
      <c r="M146" s="144"/>
    </row>
    <row r="147" spans="2:13" x14ac:dyDescent="0.4">
      <c r="B147" s="1444" t="str">
        <f>"Non-Condensing Hot Water Boilers" &amp; IF(OR('General Info &amp; Test Results'!$C$37="Electricity",'General Info &amp; Test Results'!$C$49="Non-Condensing"),""," - NOT REQUIRED FOR THIS TEST")</f>
        <v>Non-Condensing Hot Water Boilers - NOT REQUIRED FOR THIS TEST</v>
      </c>
      <c r="C147" s="1445"/>
      <c r="D147" s="1445"/>
      <c r="E147" s="1446"/>
      <c r="F147" s="1060"/>
      <c r="G147" s="1022"/>
      <c r="H147" s="1023"/>
      <c r="I147" s="971"/>
      <c r="J147" s="971"/>
      <c r="K147" s="989"/>
      <c r="M147" s="144"/>
    </row>
    <row r="148" spans="2:13" x14ac:dyDescent="0.4">
      <c r="B148" s="1418" t="s">
        <v>52</v>
      </c>
      <c r="C148" s="1420" t="s">
        <v>943</v>
      </c>
      <c r="D148" s="1421"/>
      <c r="E148" s="1361" t="s">
        <v>892</v>
      </c>
      <c r="F148" s="1361"/>
      <c r="G148" s="1362" t="s">
        <v>35</v>
      </c>
      <c r="H148" s="1422" t="s">
        <v>891</v>
      </c>
      <c r="I148" s="971"/>
      <c r="J148" s="971"/>
      <c r="K148" s="989"/>
      <c r="M148" s="144"/>
    </row>
    <row r="149" spans="2:13" x14ac:dyDescent="0.4">
      <c r="B149" s="1419"/>
      <c r="C149" s="800" t="s">
        <v>269</v>
      </c>
      <c r="D149" s="800" t="s">
        <v>270</v>
      </c>
      <c r="E149" s="1019" t="s">
        <v>269</v>
      </c>
      <c r="F149" s="1019" t="s">
        <v>270</v>
      </c>
      <c r="G149" s="1362"/>
      <c r="H149" s="1422"/>
      <c r="I149" s="971"/>
      <c r="J149" s="971"/>
      <c r="K149" s="989"/>
      <c r="M149" s="144"/>
    </row>
    <row r="150" spans="2:13" x14ac:dyDescent="0.4">
      <c r="B150" s="1061" t="s">
        <v>890</v>
      </c>
      <c r="C150" s="111"/>
      <c r="D150" s="111"/>
      <c r="E150" s="122" t="str">
        <f>IF('General Info &amp; Test Results'!$C$49&lt;&gt;"Non-Condensing","N/A",120)</f>
        <v>N/A</v>
      </c>
      <c r="F150" s="122" t="str">
        <f>IF('General Info &amp; Test Results'!$C$49&lt;&gt;"Non-Condensing","N/A",124)</f>
        <v>N/A</v>
      </c>
      <c r="G150" s="1059" t="s">
        <v>51</v>
      </c>
      <c r="H150" s="471" t="str">
        <f>IF('General Info &amp; Test Results'!$C$49&lt;&gt;"Non-Condensing","N/A",IF(AND(C150&gt;=E150,D150&lt;=F150,C150&lt;=D150),"Yes","No"))</f>
        <v>N/A</v>
      </c>
      <c r="I150" s="971"/>
      <c r="J150" s="971"/>
      <c r="K150" s="989"/>
      <c r="M150" s="144"/>
    </row>
    <row r="151" spans="2:13" x14ac:dyDescent="0.4">
      <c r="B151" s="448"/>
      <c r="C151" s="449"/>
      <c r="D151" s="449"/>
      <c r="E151" s="969"/>
      <c r="F151" s="972"/>
      <c r="G151" s="971"/>
      <c r="H151" s="971"/>
      <c r="I151" s="971"/>
      <c r="J151" s="971"/>
      <c r="K151" s="989"/>
      <c r="M151" s="144"/>
    </row>
    <row r="152" spans="2:13" x14ac:dyDescent="0.4">
      <c r="B152" s="1444" t="str">
        <f>"Condensing Hot Water Boilers" &amp; IF('General Info &amp; Test Results'!$C$49="Condensing",""," - NOT REQUIRED FOR THIS TEST")</f>
        <v>Condensing Hot Water Boilers - NOT REQUIRED FOR THIS TEST</v>
      </c>
      <c r="C152" s="1445"/>
      <c r="D152" s="1445"/>
      <c r="E152" s="1446"/>
      <c r="F152" s="1060"/>
      <c r="G152" s="1022"/>
      <c r="H152" s="1023"/>
      <c r="I152" s="971"/>
      <c r="J152" s="971"/>
      <c r="K152" s="989"/>
      <c r="M152" s="144"/>
    </row>
    <row r="153" spans="2:13" x14ac:dyDescent="0.4">
      <c r="B153" s="1418" t="s">
        <v>52</v>
      </c>
      <c r="C153" s="1420" t="s">
        <v>943</v>
      </c>
      <c r="D153" s="1421"/>
      <c r="E153" s="1361" t="s">
        <v>892</v>
      </c>
      <c r="F153" s="1361"/>
      <c r="G153" s="1362" t="s">
        <v>35</v>
      </c>
      <c r="H153" s="1422" t="s">
        <v>891</v>
      </c>
      <c r="I153" s="971"/>
      <c r="J153" s="971"/>
      <c r="K153" s="989"/>
      <c r="M153" s="144"/>
    </row>
    <row r="154" spans="2:13" x14ac:dyDescent="0.4">
      <c r="B154" s="1419"/>
      <c r="C154" s="800" t="s">
        <v>269</v>
      </c>
      <c r="D154" s="800" t="s">
        <v>270</v>
      </c>
      <c r="E154" s="1019" t="s">
        <v>269</v>
      </c>
      <c r="F154" s="1019" t="s">
        <v>270</v>
      </c>
      <c r="G154" s="1362"/>
      <c r="H154" s="1422"/>
      <c r="I154" s="971"/>
      <c r="J154" s="971"/>
      <c r="K154" s="989"/>
      <c r="M154" s="144"/>
    </row>
    <row r="155" spans="2:13" x14ac:dyDescent="0.4">
      <c r="B155" s="802" t="s">
        <v>894</v>
      </c>
      <c r="C155" s="111"/>
      <c r="D155" s="111"/>
      <c r="E155" s="122" t="str">
        <f>IF('General Info &amp; Test Results'!$C$49&lt;&gt;"Condensing","",120-10)</f>
        <v/>
      </c>
      <c r="F155" s="122" t="str">
        <f>IF('General Info &amp; Test Results'!$C$49&lt;&gt;"Condensing","",120+10)</f>
        <v/>
      </c>
      <c r="G155" s="970" t="s">
        <v>51</v>
      </c>
      <c r="H155" s="471" t="str">
        <f>IF('General Info &amp; Test Results'!$C$49&lt;&gt;"Condensing","N/A",IF(AND(C155&gt;=E155,D155&lt;=F155,C155&lt;=D155),"Yes","No"))</f>
        <v>N/A</v>
      </c>
      <c r="I155" s="971"/>
      <c r="J155" s="971"/>
      <c r="K155" s="989"/>
      <c r="M155" s="144"/>
    </row>
    <row r="156" spans="2:13" x14ac:dyDescent="0.4">
      <c r="B156" s="806" t="s">
        <v>895</v>
      </c>
      <c r="C156" s="111"/>
      <c r="D156" s="111"/>
      <c r="E156" s="122" t="str">
        <f>IF('General Info &amp; Test Results'!$C$49&lt;&gt;"Condensing","",120-5)</f>
        <v/>
      </c>
      <c r="F156" s="122" t="str">
        <f>IF('General Info &amp; Test Results'!$C$49&lt;&gt;"Condensing","",120+5)</f>
        <v/>
      </c>
      <c r="G156" s="970" t="s">
        <v>51</v>
      </c>
      <c r="H156" s="471" t="str">
        <f>IF('General Info &amp; Test Results'!$C$49&lt;&gt;"Condensing","N/A",IF(AND(C156&gt;=E156,D156&lt;=F156,C156&lt;=D156),"Yes","No"))</f>
        <v>N/A</v>
      </c>
      <c r="I156" s="971"/>
      <c r="J156" s="971"/>
      <c r="K156" s="989"/>
      <c r="M156" s="144"/>
    </row>
    <row r="157" spans="2:13" ht="16" thickBot="1" x14ac:dyDescent="0.45">
      <c r="B157" s="824" t="s">
        <v>896</v>
      </c>
      <c r="C157" s="121"/>
      <c r="D157" s="121"/>
      <c r="E157" s="123" t="str">
        <f>IF('General Info &amp; Test Results'!$C$49&lt;&gt;"Condensing","",120-2)</f>
        <v/>
      </c>
      <c r="F157" s="123" t="str">
        <f>IF('General Info &amp; Test Results'!$C$49&lt;&gt;"Condensing","",120+2)</f>
        <v/>
      </c>
      <c r="G157" s="1064" t="s">
        <v>51</v>
      </c>
      <c r="H157" s="825" t="str">
        <f>IF('General Info &amp; Test Results'!$C$49&lt;&gt;"Condensing","N/A",IF(AND(C157&gt;=E157,D157&lt;=F157,C157&lt;=D157),"Yes","No"))</f>
        <v>N/A</v>
      </c>
      <c r="I157" s="1063"/>
      <c r="J157" s="1063"/>
      <c r="K157" s="988"/>
      <c r="M157" s="144"/>
    </row>
    <row r="158" spans="2:13" ht="16.5" customHeight="1" thickBot="1" x14ac:dyDescent="0.45">
      <c r="B158" s="283" t="str">
        <f>"End: Heat-Up Test" &amp; IF('General Info &amp; Test Results'!$C$37="Electricity"," - NOT REQUIRED FOR THIS TEST","")</f>
        <v>End: Heat-Up Test</v>
      </c>
      <c r="C158" s="284"/>
      <c r="D158" s="285"/>
      <c r="E158" s="967"/>
      <c r="F158" s="967"/>
      <c r="G158" s="967"/>
      <c r="H158" s="967"/>
      <c r="I158" s="967"/>
      <c r="J158" s="967"/>
      <c r="K158" s="286"/>
      <c r="M158" s="144"/>
    </row>
    <row r="159" spans="2:13" x14ac:dyDescent="0.4">
      <c r="B159" s="138"/>
      <c r="C159" s="138"/>
      <c r="D159" s="138"/>
      <c r="E159" s="138"/>
      <c r="M159" s="144"/>
    </row>
    <row r="160" spans="2:13" ht="16" thickBot="1" x14ac:dyDescent="0.45">
      <c r="B160" s="290"/>
      <c r="C160" s="291"/>
      <c r="D160" s="278"/>
      <c r="E160" s="278"/>
      <c r="M160" s="144"/>
    </row>
    <row r="161" spans="2:13" ht="36" customHeight="1" thickBot="1" x14ac:dyDescent="0.45">
      <c r="B161" s="1409" t="str">
        <f>"ASHRAE 103-1993, Section 9.7: Optional Tracer Gas Test Procedures for Determining Draft Factors for D_P, D_F, and D_S for Systems Equipped with Power Burners or Direct Vent and Not Equipped with Stack Dampers" &amp;
IF(OR(
'General Info &amp; Test Results'!$C$37="Electricity",
'General Info &amp; Test Results'!$C$45="Yes",
'General Info &amp; Test Results'!$C$50="Step Modulating",
AND('General Info &amp; Test Results'!$C$40&lt;&gt;"Power",'General Info &amp; Test Results'!C48="No")),
" - NOT AN OPTION FOR THIS TEST","")</f>
        <v>ASHRAE 103-1993, Section 9.7: Optional Tracer Gas Test Procedures for Determining Draft Factors for D_P, D_F, and D_S for Systems Equipped with Power Burners or Direct Vent and Not Equipped with Stack Dampers</v>
      </c>
      <c r="C161" s="1410"/>
      <c r="D161" s="1410"/>
      <c r="E161" s="1410"/>
      <c r="F161" s="1410"/>
      <c r="G161" s="1410"/>
      <c r="H161" s="1410"/>
      <c r="I161" s="1410"/>
      <c r="J161" s="1410"/>
      <c r="K161" s="1411"/>
      <c r="M161" s="144"/>
    </row>
    <row r="162" spans="2:13" x14ac:dyDescent="0.4">
      <c r="B162" s="440" t="s">
        <v>52</v>
      </c>
      <c r="C162" s="441" t="s">
        <v>34</v>
      </c>
      <c r="D162" s="442" t="s">
        <v>35</v>
      </c>
      <c r="E162" s="442" t="s">
        <v>33</v>
      </c>
      <c r="F162" s="950"/>
      <c r="G162" s="971"/>
      <c r="H162" s="971"/>
      <c r="I162" s="971"/>
      <c r="J162" s="971"/>
      <c r="K162" s="989"/>
      <c r="M162" s="144"/>
    </row>
    <row r="163" spans="2:13" ht="16" thickBot="1" x14ac:dyDescent="0.45">
      <c r="B163" s="871" t="s">
        <v>548</v>
      </c>
      <c r="C163" s="121"/>
      <c r="D163" s="829" t="s">
        <v>178</v>
      </c>
      <c r="E163" s="1038" t="s">
        <v>178</v>
      </c>
      <c r="F163" s="1069"/>
      <c r="G163" s="1063"/>
      <c r="H163" s="1063"/>
      <c r="I163" s="1063"/>
      <c r="J163" s="1063"/>
      <c r="K163" s="988"/>
      <c r="M163" s="144"/>
    </row>
    <row r="164" spans="2:13" ht="16" thickBot="1" x14ac:dyDescent="0.45">
      <c r="B164" s="1070"/>
      <c r="C164" s="1071"/>
      <c r="D164" s="1071"/>
      <c r="E164" s="1071"/>
      <c r="F164" s="1071"/>
      <c r="G164" s="1008"/>
      <c r="H164" s="1008"/>
      <c r="I164" s="1008"/>
      <c r="J164" s="1008"/>
      <c r="K164" s="982"/>
      <c r="M164" s="144"/>
    </row>
    <row r="165" spans="2:13" ht="105.75" customHeight="1" x14ac:dyDescent="0.4">
      <c r="B165" s="1435" t="s">
        <v>905</v>
      </c>
      <c r="C165" s="1436"/>
      <c r="D165" s="1436"/>
      <c r="E165" s="1436"/>
      <c r="F165" s="1436"/>
      <c r="G165" s="1436"/>
      <c r="H165" s="1436"/>
      <c r="I165" s="1436"/>
      <c r="J165" s="1436"/>
      <c r="K165" s="1437"/>
      <c r="M165" s="144"/>
    </row>
    <row r="166" spans="2:13" ht="18" customHeight="1" x14ac:dyDescent="0.4">
      <c r="B166" s="1042" t="s">
        <v>52</v>
      </c>
      <c r="C166" s="952" t="s">
        <v>34</v>
      </c>
      <c r="D166" s="1005" t="s">
        <v>35</v>
      </c>
      <c r="E166" s="1005" t="s">
        <v>33</v>
      </c>
      <c r="F166" s="950"/>
      <c r="G166" s="971"/>
      <c r="H166" s="971"/>
      <c r="I166" s="971"/>
      <c r="J166" s="971"/>
      <c r="K166" s="989"/>
      <c r="M166" s="144"/>
    </row>
    <row r="167" spans="2:13" ht="17" thickBot="1" x14ac:dyDescent="0.45">
      <c r="B167" s="828" t="s">
        <v>528</v>
      </c>
      <c r="C167" s="121"/>
      <c r="D167" s="276" t="s">
        <v>255</v>
      </c>
      <c r="E167" s="1038" t="s">
        <v>717</v>
      </c>
      <c r="F167" s="1069"/>
      <c r="G167" s="1063"/>
      <c r="H167" s="1063"/>
      <c r="I167" s="1063"/>
      <c r="J167" s="1063"/>
      <c r="K167" s="988"/>
      <c r="M167" s="144"/>
    </row>
    <row r="168" spans="2:13" ht="18" customHeight="1" thickBot="1" x14ac:dyDescent="0.45">
      <c r="B168" s="830"/>
      <c r="C168" s="436"/>
      <c r="D168" s="436"/>
      <c r="E168" s="1065"/>
      <c r="F168" s="335"/>
      <c r="G168" s="971"/>
      <c r="H168" s="971"/>
      <c r="I168" s="971"/>
      <c r="J168" s="971"/>
      <c r="K168" s="989"/>
      <c r="M168" s="144"/>
    </row>
    <row r="169" spans="2:13" ht="53.25" customHeight="1" x14ac:dyDescent="0.4">
      <c r="B169" s="1328" t="s">
        <v>908</v>
      </c>
      <c r="C169" s="1329"/>
      <c r="D169" s="1329"/>
      <c r="E169" s="1329"/>
      <c r="F169" s="1329"/>
      <c r="G169" s="1329"/>
      <c r="H169" s="1329"/>
      <c r="I169" s="1329"/>
      <c r="J169" s="1329"/>
      <c r="K169" s="1330"/>
      <c r="M169" s="144"/>
    </row>
    <row r="170" spans="2:13" ht="18" customHeight="1" x14ac:dyDescent="0.4">
      <c r="B170" s="1042" t="s">
        <v>52</v>
      </c>
      <c r="C170" s="952" t="s">
        <v>34</v>
      </c>
      <c r="D170" s="1005" t="s">
        <v>35</v>
      </c>
      <c r="E170" s="1005" t="s">
        <v>33</v>
      </c>
      <c r="F170" s="950"/>
      <c r="G170" s="971"/>
      <c r="H170" s="971"/>
      <c r="I170" s="971"/>
      <c r="J170" s="971"/>
      <c r="K170" s="989"/>
      <c r="M170" s="144"/>
    </row>
    <row r="171" spans="2:13" ht="18" customHeight="1" x14ac:dyDescent="0.4">
      <c r="B171" s="330" t="s">
        <v>529</v>
      </c>
      <c r="C171" s="111"/>
      <c r="D171" s="271" t="s">
        <v>218</v>
      </c>
      <c r="E171" s="975" t="s">
        <v>718</v>
      </c>
      <c r="F171" s="965"/>
      <c r="G171" s="971"/>
      <c r="H171" s="971"/>
      <c r="I171" s="971"/>
      <c r="J171" s="971"/>
      <c r="K171" s="989"/>
      <c r="M171" s="144"/>
    </row>
    <row r="172" spans="2:13" ht="16.5" x14ac:dyDescent="0.4">
      <c r="B172" s="330" t="s">
        <v>940</v>
      </c>
      <c r="C172" s="111"/>
      <c r="D172" s="579" t="s">
        <v>218</v>
      </c>
      <c r="E172" s="975" t="s">
        <v>723</v>
      </c>
      <c r="F172" s="965"/>
      <c r="G172" s="971"/>
      <c r="H172" s="971"/>
      <c r="I172" s="971"/>
      <c r="J172" s="971"/>
      <c r="K172" s="989"/>
      <c r="M172" s="144"/>
    </row>
    <row r="173" spans="2:13" ht="18" customHeight="1" x14ac:dyDescent="0.4">
      <c r="B173" s="330" t="s">
        <v>526</v>
      </c>
      <c r="C173" s="111"/>
      <c r="D173" s="271" t="s">
        <v>51</v>
      </c>
      <c r="E173" s="975" t="s">
        <v>719</v>
      </c>
      <c r="F173" s="951"/>
      <c r="G173" s="971"/>
      <c r="H173" s="971"/>
      <c r="I173" s="971"/>
      <c r="J173" s="971"/>
      <c r="K173" s="989"/>
      <c r="M173" s="144"/>
    </row>
    <row r="174" spans="2:13" ht="18" customHeight="1" x14ac:dyDescent="0.4">
      <c r="B174" s="330" t="s">
        <v>415</v>
      </c>
      <c r="C174" s="111"/>
      <c r="D174" s="271" t="s">
        <v>416</v>
      </c>
      <c r="E174" s="975" t="s">
        <v>720</v>
      </c>
      <c r="F174" s="951"/>
      <c r="G174" s="971"/>
      <c r="H174" s="971"/>
      <c r="I174" s="971"/>
      <c r="J174" s="971"/>
      <c r="K174" s="989"/>
      <c r="M174" s="144"/>
    </row>
    <row r="175" spans="2:13" ht="18" customHeight="1" thickBot="1" x14ac:dyDescent="0.45">
      <c r="B175" s="828" t="s">
        <v>527</v>
      </c>
      <c r="C175" s="822" t="str">
        <f>IF(OR(C173="",C174=""),"",1.325*C174/(C173+460))</f>
        <v/>
      </c>
      <c r="D175" s="829" t="s">
        <v>253</v>
      </c>
      <c r="E175" s="1068" t="s">
        <v>721</v>
      </c>
      <c r="F175" s="1067"/>
      <c r="G175" s="1063"/>
      <c r="H175" s="1063"/>
      <c r="I175" s="1063"/>
      <c r="J175" s="1063"/>
      <c r="K175" s="988"/>
      <c r="M175" s="144"/>
    </row>
    <row r="176" spans="2:13" ht="18" customHeight="1" thickBot="1" x14ac:dyDescent="0.45">
      <c r="B176" s="826"/>
      <c r="C176" s="814"/>
      <c r="D176" s="814"/>
      <c r="E176" s="814"/>
      <c r="F176" s="814"/>
      <c r="G176" s="971"/>
      <c r="H176" s="971"/>
      <c r="I176" s="971"/>
      <c r="J176" s="971"/>
      <c r="K176" s="989"/>
      <c r="M176" s="144"/>
    </row>
    <row r="177" spans="2:13" ht="86.25" customHeight="1" x14ac:dyDescent="0.4">
      <c r="B177" s="1328" t="s">
        <v>907</v>
      </c>
      <c r="C177" s="1329"/>
      <c r="D177" s="1329"/>
      <c r="E177" s="1329"/>
      <c r="F177" s="1329"/>
      <c r="G177" s="1329"/>
      <c r="H177" s="1329"/>
      <c r="I177" s="1329"/>
      <c r="J177" s="1329"/>
      <c r="K177" s="1330"/>
      <c r="M177" s="144"/>
    </row>
    <row r="178" spans="2:13" ht="18" customHeight="1" x14ac:dyDescent="0.4">
      <c r="B178" s="1042" t="s">
        <v>52</v>
      </c>
      <c r="C178" s="952" t="s">
        <v>34</v>
      </c>
      <c r="D178" s="1005" t="s">
        <v>35</v>
      </c>
      <c r="E178" s="1005" t="s">
        <v>33</v>
      </c>
      <c r="F178" s="951"/>
      <c r="G178" s="971"/>
      <c r="H178" s="971"/>
      <c r="I178" s="971"/>
      <c r="J178" s="971"/>
      <c r="K178" s="989"/>
      <c r="M178" s="144"/>
    </row>
    <row r="179" spans="2:13" ht="18" customHeight="1" thickBot="1" x14ac:dyDescent="0.45">
      <c r="B179" s="827" t="s">
        <v>530</v>
      </c>
      <c r="C179" s="121"/>
      <c r="D179" s="276" t="s">
        <v>51</v>
      </c>
      <c r="E179" s="1038" t="s">
        <v>650</v>
      </c>
      <c r="F179" s="1067"/>
      <c r="G179" s="1063"/>
      <c r="H179" s="1063"/>
      <c r="I179" s="1063"/>
      <c r="J179" s="1063"/>
      <c r="K179" s="988"/>
      <c r="M179" s="144"/>
    </row>
    <row r="180" spans="2:13" ht="18" customHeight="1" thickBot="1" x14ac:dyDescent="0.45">
      <c r="B180" s="826"/>
      <c r="C180" s="814"/>
      <c r="D180" s="814"/>
      <c r="E180" s="814"/>
      <c r="F180" s="814"/>
      <c r="G180" s="971"/>
      <c r="H180" s="971"/>
      <c r="I180" s="971"/>
      <c r="J180" s="971"/>
      <c r="K180" s="989"/>
      <c r="M180" s="144"/>
    </row>
    <row r="181" spans="2:13" ht="51.75" customHeight="1" thickBot="1" x14ac:dyDescent="0.45">
      <c r="B181" s="1438" t="s">
        <v>906</v>
      </c>
      <c r="C181" s="1439"/>
      <c r="D181" s="1439"/>
      <c r="E181" s="1439"/>
      <c r="F181" s="1439"/>
      <c r="G181" s="1439"/>
      <c r="H181" s="1439"/>
      <c r="I181" s="1439"/>
      <c r="J181" s="1439"/>
      <c r="K181" s="1440"/>
      <c r="M181" s="144"/>
    </row>
    <row r="182" spans="2:13" ht="18" customHeight="1" thickBot="1" x14ac:dyDescent="0.45">
      <c r="B182" s="826"/>
      <c r="C182" s="814"/>
      <c r="D182" s="814"/>
      <c r="E182" s="814"/>
      <c r="F182" s="814"/>
      <c r="G182" s="971"/>
      <c r="H182" s="971"/>
      <c r="I182" s="971"/>
      <c r="J182" s="971"/>
      <c r="K182" s="989"/>
      <c r="M182" s="144"/>
    </row>
    <row r="183" spans="2:13" ht="53.25" customHeight="1" thickBot="1" x14ac:dyDescent="0.45">
      <c r="B183" s="1438" t="s">
        <v>909</v>
      </c>
      <c r="C183" s="1439"/>
      <c r="D183" s="1439"/>
      <c r="E183" s="1439"/>
      <c r="F183" s="1439"/>
      <c r="G183" s="1439"/>
      <c r="H183" s="1439"/>
      <c r="I183" s="1439"/>
      <c r="J183" s="1439"/>
      <c r="K183" s="1440"/>
      <c r="M183" s="144"/>
    </row>
    <row r="184" spans="2:13" ht="18" customHeight="1" thickBot="1" x14ac:dyDescent="0.45">
      <c r="B184" s="1066" t="s">
        <v>931</v>
      </c>
      <c r="C184" s="1034"/>
      <c r="D184" s="1034"/>
      <c r="E184" s="1034"/>
      <c r="F184" s="1034"/>
      <c r="G184" s="1034"/>
      <c r="H184" s="1034"/>
      <c r="I184" s="1034"/>
      <c r="J184" s="1034"/>
      <c r="K184" s="1056"/>
      <c r="M184" s="144"/>
    </row>
    <row r="185" spans="2:13" ht="18" customHeight="1" x14ac:dyDescent="0.4">
      <c r="B185" s="814"/>
      <c r="C185" s="814"/>
      <c r="D185" s="814"/>
      <c r="E185" s="814"/>
      <c r="F185" s="814"/>
      <c r="M185" s="144"/>
    </row>
    <row r="186" spans="2:13" ht="18" customHeight="1" thickBot="1" x14ac:dyDescent="0.45">
      <c r="B186" s="814"/>
      <c r="C186" s="814"/>
      <c r="D186" s="814"/>
      <c r="E186" s="814"/>
      <c r="F186" s="814"/>
      <c r="M186" s="144"/>
    </row>
    <row r="187" spans="2:13" ht="35.25" customHeight="1" thickBot="1" x14ac:dyDescent="0.45">
      <c r="B187" s="1441" t="str">
        <f>"ASHRAE 103-1993, Section 9.7.6: Tracer Gas Test Procedures for Determining Off-Cycle Loss Factor K_L for Atmospheric Systems" &amp;
" with Integral Draft Diverter or Draft Hood and Equipped with Either an Electro-Mechanical Inlet or Flue Damper That Restricts the Flow Through the Heat Exchanger in the Off-Cycle" &amp;
IF(AND('General Info &amp; Test Results'!$C$40="Atmospheric",'General Info &amp; Test Results'!$C$46="Yes",OR('General Info &amp; Test Results'!$C$43="Draft Hood",'General Info &amp; Test Results'!$C$43="Integral Draft Diverter")),""," - NOT REQUIRED FOR THIS TEST")</f>
        <v>ASHRAE 103-1993, Section 9.7.6: Tracer Gas Test Procedures for Determining Off-Cycle Loss Factor K_L for Atmospheric Systems with Integral Draft Diverter or Draft Hood and Equipped with Either an Electro-Mechanical Inlet or Flue Damper That Restricts the Flow Through the Heat Exchanger in the Off-Cycle - NOT REQUIRED FOR THIS TEST</v>
      </c>
      <c r="C187" s="1442"/>
      <c r="D187" s="1442"/>
      <c r="E187" s="1442"/>
      <c r="F187" s="1442"/>
      <c r="G187" s="1442"/>
      <c r="H187" s="1442"/>
      <c r="I187" s="1442"/>
      <c r="J187" s="1442"/>
      <c r="K187" s="1443"/>
      <c r="M187" s="144"/>
    </row>
    <row r="188" spans="2:13" ht="55.5" customHeight="1" x14ac:dyDescent="0.4">
      <c r="B188" s="1423" t="s">
        <v>910</v>
      </c>
      <c r="C188" s="1424"/>
      <c r="D188" s="1424"/>
      <c r="E188" s="1424"/>
      <c r="F188" s="1424"/>
      <c r="G188" s="1424"/>
      <c r="H188" s="1424"/>
      <c r="I188" s="1424"/>
      <c r="J188" s="1424"/>
      <c r="K188" s="1425"/>
      <c r="M188" s="144"/>
    </row>
    <row r="189" spans="2:13" ht="46.5" x14ac:dyDescent="0.4">
      <c r="B189" s="1042" t="s">
        <v>52</v>
      </c>
      <c r="C189" s="1072" t="s">
        <v>938</v>
      </c>
      <c r="D189" s="1072" t="s">
        <v>937</v>
      </c>
      <c r="E189" s="1005" t="s">
        <v>35</v>
      </c>
      <c r="F189" s="1005" t="s">
        <v>33</v>
      </c>
      <c r="G189" s="971"/>
      <c r="H189" s="971"/>
      <c r="I189" s="971"/>
      <c r="J189" s="971"/>
      <c r="K189" s="989"/>
      <c r="M189" s="144"/>
    </row>
    <row r="190" spans="2:13" ht="16.5" x14ac:dyDescent="0.4">
      <c r="B190" s="330" t="s">
        <v>529</v>
      </c>
      <c r="C190" s="111"/>
      <c r="D190" s="111"/>
      <c r="E190" s="271" t="s">
        <v>218</v>
      </c>
      <c r="F190" s="975" t="s">
        <v>718</v>
      </c>
      <c r="G190" s="971"/>
      <c r="H190" s="971"/>
      <c r="I190" s="971"/>
      <c r="J190" s="971"/>
      <c r="K190" s="989"/>
      <c r="M190" s="144"/>
    </row>
    <row r="191" spans="2:13" ht="16.5" x14ac:dyDescent="0.4">
      <c r="B191" s="330" t="s">
        <v>526</v>
      </c>
      <c r="C191" s="111"/>
      <c r="D191" s="111"/>
      <c r="E191" s="271" t="s">
        <v>51</v>
      </c>
      <c r="F191" s="975" t="s">
        <v>719</v>
      </c>
      <c r="G191" s="971"/>
      <c r="H191" s="971"/>
      <c r="I191" s="971"/>
      <c r="J191" s="971"/>
      <c r="K191" s="989"/>
      <c r="M191" s="144"/>
    </row>
    <row r="192" spans="2:13" ht="16.5" x14ac:dyDescent="0.4">
      <c r="B192" s="330" t="s">
        <v>415</v>
      </c>
      <c r="C192" s="111"/>
      <c r="D192" s="111"/>
      <c r="E192" s="271" t="s">
        <v>416</v>
      </c>
      <c r="F192" s="975" t="s">
        <v>720</v>
      </c>
      <c r="G192" s="971"/>
      <c r="H192" s="971"/>
      <c r="I192" s="971"/>
      <c r="J192" s="971"/>
      <c r="K192" s="989"/>
      <c r="M192" s="144"/>
    </row>
    <row r="193" spans="2:14" ht="18" thickBot="1" x14ac:dyDescent="0.45">
      <c r="B193" s="828" t="s">
        <v>527</v>
      </c>
      <c r="C193" s="822" t="str">
        <f>IF(OR(C191="",C192=""),"",1.325*C192/(C191+460))</f>
        <v/>
      </c>
      <c r="D193" s="822" t="str">
        <f>IF(OR(D191="",D192=""),"",1.325*D192/(D191+460))</f>
        <v/>
      </c>
      <c r="E193" s="829" t="s">
        <v>253</v>
      </c>
      <c r="F193" s="1068" t="s">
        <v>721</v>
      </c>
      <c r="G193" s="1063"/>
      <c r="H193" s="1063"/>
      <c r="I193" s="1063"/>
      <c r="J193" s="1063"/>
      <c r="K193" s="988"/>
      <c r="M193" s="144"/>
    </row>
    <row r="194" spans="2:14" ht="16" thickBot="1" x14ac:dyDescent="0.45">
      <c r="B194" s="446"/>
      <c r="C194" s="444"/>
      <c r="D194" s="444"/>
      <c r="E194" s="444"/>
      <c r="F194" s="444"/>
      <c r="G194" s="971"/>
      <c r="H194" s="971"/>
      <c r="I194" s="971"/>
      <c r="J194" s="971"/>
      <c r="K194" s="989"/>
      <c r="M194" s="144"/>
      <c r="N194" s="444"/>
    </row>
    <row r="195" spans="2:14" ht="54.75" customHeight="1" x14ac:dyDescent="0.4">
      <c r="B195" s="1423" t="s">
        <v>911</v>
      </c>
      <c r="C195" s="1424"/>
      <c r="D195" s="1424"/>
      <c r="E195" s="1424"/>
      <c r="F195" s="1424"/>
      <c r="G195" s="1424"/>
      <c r="H195" s="1424"/>
      <c r="I195" s="1424"/>
      <c r="J195" s="1424"/>
      <c r="K195" s="1425"/>
      <c r="M195" s="144"/>
    </row>
    <row r="196" spans="2:14" ht="46.5" x14ac:dyDescent="0.4">
      <c r="B196" s="1042" t="s">
        <v>52</v>
      </c>
      <c r="C196" s="1072" t="s">
        <v>938</v>
      </c>
      <c r="D196" s="1072" t="s">
        <v>937</v>
      </c>
      <c r="E196" s="1005" t="s">
        <v>35</v>
      </c>
      <c r="F196" s="1005" t="s">
        <v>33</v>
      </c>
      <c r="G196" s="971"/>
      <c r="H196" s="971"/>
      <c r="I196" s="971"/>
      <c r="J196" s="971"/>
      <c r="K196" s="989"/>
      <c r="M196" s="144"/>
    </row>
    <row r="197" spans="2:14" ht="17" thickBot="1" x14ac:dyDescent="0.45">
      <c r="B197" s="821" t="s">
        <v>858</v>
      </c>
      <c r="C197" s="121"/>
      <c r="D197" s="121"/>
      <c r="E197" s="576" t="s">
        <v>218</v>
      </c>
      <c r="F197" s="1057" t="s">
        <v>722</v>
      </c>
      <c r="G197" s="1063"/>
      <c r="H197" s="1063"/>
      <c r="I197" s="1063"/>
      <c r="J197" s="1063"/>
      <c r="K197" s="988"/>
      <c r="M197" s="144"/>
    </row>
    <row r="198" spans="2:14" ht="16" thickBot="1" x14ac:dyDescent="0.45">
      <c r="B198" s="446"/>
      <c r="C198" s="444"/>
      <c r="D198" s="444"/>
      <c r="E198" s="444"/>
      <c r="F198" s="444"/>
      <c r="G198" s="971"/>
      <c r="H198" s="971"/>
      <c r="I198" s="971"/>
      <c r="J198" s="971"/>
      <c r="K198" s="989"/>
      <c r="M198" s="144"/>
    </row>
    <row r="199" spans="2:14" ht="69.75" customHeight="1" x14ac:dyDescent="0.4">
      <c r="B199" s="1423" t="s">
        <v>912</v>
      </c>
      <c r="C199" s="1424"/>
      <c r="D199" s="1424"/>
      <c r="E199" s="1424"/>
      <c r="F199" s="1424"/>
      <c r="G199" s="1424"/>
      <c r="H199" s="1424"/>
      <c r="I199" s="1424"/>
      <c r="J199" s="1424"/>
      <c r="K199" s="1425"/>
      <c r="M199" s="144"/>
    </row>
    <row r="200" spans="2:14" ht="46.5" x14ac:dyDescent="0.4">
      <c r="B200" s="440" t="s">
        <v>52</v>
      </c>
      <c r="C200" s="1072" t="s">
        <v>938</v>
      </c>
      <c r="D200" s="1072" t="s">
        <v>937</v>
      </c>
      <c r="E200" s="1005" t="s">
        <v>35</v>
      </c>
      <c r="F200" s="1005" t="s">
        <v>33</v>
      </c>
      <c r="G200" s="971"/>
      <c r="H200" s="971"/>
      <c r="I200" s="971"/>
      <c r="J200" s="971"/>
      <c r="K200" s="989"/>
      <c r="M200" s="144"/>
    </row>
    <row r="201" spans="2:14" ht="16.5" x14ac:dyDescent="0.4">
      <c r="B201" s="330" t="s">
        <v>250</v>
      </c>
      <c r="C201" s="111"/>
      <c r="D201" s="111"/>
      <c r="E201" s="579" t="s">
        <v>218</v>
      </c>
      <c r="F201" s="975" t="s">
        <v>723</v>
      </c>
      <c r="G201" s="971"/>
      <c r="H201" s="971"/>
      <c r="I201" s="971"/>
      <c r="J201" s="971"/>
      <c r="K201" s="989"/>
      <c r="M201" s="144"/>
    </row>
    <row r="202" spans="2:14" ht="17" thickBot="1" x14ac:dyDescent="0.45">
      <c r="B202" s="828" t="s">
        <v>528</v>
      </c>
      <c r="C202" s="121"/>
      <c r="D202" s="121"/>
      <c r="E202" s="276" t="s">
        <v>255</v>
      </c>
      <c r="F202" s="1038" t="s">
        <v>717</v>
      </c>
      <c r="G202" s="1063"/>
      <c r="H202" s="1063"/>
      <c r="I202" s="1063"/>
      <c r="J202" s="1063"/>
      <c r="K202" s="988"/>
      <c r="M202" s="144"/>
    </row>
    <row r="203" spans="2:14" ht="16" thickBot="1" x14ac:dyDescent="0.45">
      <c r="B203" s="446"/>
      <c r="C203" s="444"/>
      <c r="D203" s="444"/>
      <c r="E203" s="444"/>
      <c r="F203" s="444"/>
      <c r="G203" s="971"/>
      <c r="H203" s="971"/>
      <c r="I203" s="971"/>
      <c r="J203" s="971"/>
      <c r="K203" s="989"/>
      <c r="M203" s="144"/>
    </row>
    <row r="204" spans="2:14" ht="71.25" customHeight="1" x14ac:dyDescent="0.4">
      <c r="B204" s="1423" t="s">
        <v>913</v>
      </c>
      <c r="C204" s="1424"/>
      <c r="D204" s="1424"/>
      <c r="E204" s="1424"/>
      <c r="F204" s="1424"/>
      <c r="G204" s="1424"/>
      <c r="H204" s="1424"/>
      <c r="I204" s="1424"/>
      <c r="J204" s="1424"/>
      <c r="K204" s="1425"/>
      <c r="M204" s="144"/>
    </row>
    <row r="205" spans="2:14" ht="84.75" customHeight="1" x14ac:dyDescent="0.4">
      <c r="B205" s="1426" t="s">
        <v>914</v>
      </c>
      <c r="C205" s="1427"/>
      <c r="D205" s="1427"/>
      <c r="E205" s="1427"/>
      <c r="F205" s="1427"/>
      <c r="G205" s="1427"/>
      <c r="H205" s="1427"/>
      <c r="I205" s="1427"/>
      <c r="J205" s="1427"/>
      <c r="K205" s="1428"/>
      <c r="M205" s="144"/>
    </row>
    <row r="206" spans="2:14" ht="46.5" x14ac:dyDescent="0.4">
      <c r="B206" s="1042" t="s">
        <v>52</v>
      </c>
      <c r="C206" s="1072" t="s">
        <v>938</v>
      </c>
      <c r="D206" s="1072" t="s">
        <v>937</v>
      </c>
      <c r="E206" s="1005" t="s">
        <v>35</v>
      </c>
      <c r="F206" s="1005" t="s">
        <v>33</v>
      </c>
      <c r="G206" s="971"/>
      <c r="H206" s="971"/>
      <c r="I206" s="971"/>
      <c r="J206" s="971"/>
      <c r="K206" s="989"/>
      <c r="M206" s="144"/>
    </row>
    <row r="207" spans="2:14" ht="17" thickBot="1" x14ac:dyDescent="0.45">
      <c r="B207" s="289" t="s">
        <v>859</v>
      </c>
      <c r="C207" s="121"/>
      <c r="D207" s="121"/>
      <c r="E207" s="831" t="s">
        <v>51</v>
      </c>
      <c r="F207" s="1073" t="s">
        <v>724</v>
      </c>
      <c r="G207" s="1063"/>
      <c r="H207" s="1063"/>
      <c r="I207" s="1063"/>
      <c r="J207" s="1063"/>
      <c r="K207" s="988"/>
      <c r="M207" s="144"/>
    </row>
    <row r="208" spans="2:14" ht="16" thickBot="1" x14ac:dyDescent="0.45">
      <c r="B208" s="446"/>
      <c r="C208" s="444"/>
      <c r="D208" s="444"/>
      <c r="E208" s="444"/>
      <c r="F208" s="444"/>
      <c r="G208" s="971"/>
      <c r="H208" s="971"/>
      <c r="I208" s="971"/>
      <c r="J208" s="971"/>
      <c r="K208" s="989"/>
      <c r="M208" s="144"/>
    </row>
    <row r="209" spans="2:13" ht="85.5" customHeight="1" x14ac:dyDescent="0.4">
      <c r="B209" s="1423" t="s">
        <v>915</v>
      </c>
      <c r="C209" s="1424"/>
      <c r="D209" s="1424"/>
      <c r="E209" s="1424"/>
      <c r="F209" s="1424"/>
      <c r="G209" s="1424"/>
      <c r="H209" s="1424"/>
      <c r="I209" s="1424"/>
      <c r="J209" s="1424"/>
      <c r="K209" s="1425"/>
      <c r="M209" s="144"/>
    </row>
    <row r="210" spans="2:13" ht="46.5" x14ac:dyDescent="0.4">
      <c r="B210" s="1042" t="s">
        <v>52</v>
      </c>
      <c r="C210" s="1072" t="s">
        <v>938</v>
      </c>
      <c r="D210" s="1072" t="s">
        <v>937</v>
      </c>
      <c r="E210" s="1005" t="s">
        <v>35</v>
      </c>
      <c r="F210" s="1005" t="s">
        <v>33</v>
      </c>
      <c r="G210" s="971"/>
      <c r="H210" s="971"/>
      <c r="I210" s="971"/>
      <c r="J210" s="971"/>
      <c r="K210" s="989"/>
      <c r="M210" s="144"/>
    </row>
    <row r="211" spans="2:13" ht="17" thickBot="1" x14ac:dyDescent="0.45">
      <c r="B211" s="577" t="s">
        <v>860</v>
      </c>
      <c r="C211" s="121"/>
      <c r="D211" s="121"/>
      <c r="E211" s="576" t="s">
        <v>80</v>
      </c>
      <c r="F211" s="1057" t="s">
        <v>725</v>
      </c>
      <c r="G211" s="1063"/>
      <c r="H211" s="1063"/>
      <c r="I211" s="1063"/>
      <c r="J211" s="1063"/>
      <c r="K211" s="988"/>
      <c r="M211" s="144"/>
    </row>
    <row r="212" spans="2:13" ht="18" customHeight="1" thickBot="1" x14ac:dyDescent="0.45">
      <c r="B212" s="1066" t="s">
        <v>932</v>
      </c>
      <c r="C212" s="1034"/>
      <c r="D212" s="1034"/>
      <c r="E212" s="1034"/>
      <c r="F212" s="1034"/>
      <c r="G212" s="1034"/>
      <c r="H212" s="1034"/>
      <c r="I212" s="1034"/>
      <c r="J212" s="1034"/>
      <c r="K212" s="1056"/>
      <c r="M212" s="144"/>
    </row>
    <row r="213" spans="2:13" x14ac:dyDescent="0.4">
      <c r="B213" s="138"/>
      <c r="C213" s="138"/>
      <c r="D213" s="138"/>
      <c r="E213" s="138"/>
      <c r="F213" s="138"/>
      <c r="G213" s="971"/>
      <c r="M213" s="144"/>
    </row>
    <row r="214" spans="2:13" ht="16" thickBot="1" x14ac:dyDescent="0.45">
      <c r="B214" s="138"/>
      <c r="C214" s="138"/>
      <c r="D214" s="138"/>
      <c r="E214" s="138"/>
      <c r="M214" s="144"/>
    </row>
    <row r="215" spans="2:13" ht="18" customHeight="1" thickBot="1" x14ac:dyDescent="0.45">
      <c r="B215" s="1409" t="str">
        <f>"ASHRAE 103-1993, Section 9.8: Condensing Furnaces and Boilers-Measurement of Condensate Heat Loss Under Cyclic Conditions" &amp;
IF(OR('General Info &amp; Test Results'!C50="Step Modulating",'General Info &amp; Test Results'!C49="Non-Condensing")," - NOT REQUIRED FOR THIS TEST","")</f>
        <v>ASHRAE 103-1993, Section 9.8: Condensing Furnaces and Boilers-Measurement of Condensate Heat Loss Under Cyclic Conditions</v>
      </c>
      <c r="C215" s="1410"/>
      <c r="D215" s="1410"/>
      <c r="E215" s="1410"/>
      <c r="F215" s="1410"/>
      <c r="G215" s="1410"/>
      <c r="H215" s="1410"/>
      <c r="I215" s="1410"/>
      <c r="J215" s="1410"/>
      <c r="K215" s="1411"/>
      <c r="M215" s="144"/>
    </row>
    <row r="216" spans="2:13" x14ac:dyDescent="0.4">
      <c r="B216" s="1412" t="s">
        <v>961</v>
      </c>
      <c r="C216" s="1413"/>
      <c r="D216" s="1413"/>
      <c r="E216" s="1413"/>
      <c r="F216" s="1413"/>
      <c r="G216" s="1413"/>
      <c r="H216" s="1413"/>
      <c r="I216" s="1413"/>
      <c r="J216" s="1413"/>
      <c r="K216" s="1414"/>
      <c r="M216" s="144"/>
    </row>
    <row r="217" spans="2:13" ht="35.25" customHeight="1" x14ac:dyDescent="0.4">
      <c r="B217" s="1415" t="s">
        <v>962</v>
      </c>
      <c r="C217" s="1416"/>
      <c r="D217" s="1416"/>
      <c r="E217" s="1416"/>
      <c r="F217" s="1416"/>
      <c r="G217" s="1416"/>
      <c r="H217" s="1416"/>
      <c r="I217" s="1416"/>
      <c r="J217" s="1416"/>
      <c r="K217" s="1417"/>
      <c r="M217" s="144"/>
    </row>
    <row r="218" spans="2:13" ht="52.5" customHeight="1" x14ac:dyDescent="0.4">
      <c r="B218" s="1415" t="s">
        <v>963</v>
      </c>
      <c r="C218" s="1416"/>
      <c r="D218" s="1416"/>
      <c r="E218" s="1416"/>
      <c r="F218" s="1416"/>
      <c r="G218" s="1416"/>
      <c r="H218" s="1416"/>
      <c r="I218" s="1416"/>
      <c r="J218" s="1416"/>
      <c r="K218" s="1417"/>
      <c r="M218" s="144"/>
    </row>
    <row r="219" spans="2:13" ht="69" customHeight="1" x14ac:dyDescent="0.4">
      <c r="B219" s="1415" t="s">
        <v>964</v>
      </c>
      <c r="C219" s="1416"/>
      <c r="D219" s="1416"/>
      <c r="E219" s="1416"/>
      <c r="F219" s="1416"/>
      <c r="G219" s="1416"/>
      <c r="H219" s="1416"/>
      <c r="I219" s="1416"/>
      <c r="J219" s="1416"/>
      <c r="K219" s="1417"/>
      <c r="M219" s="144"/>
    </row>
    <row r="220" spans="2:13" ht="36" customHeight="1" x14ac:dyDescent="0.4">
      <c r="B220" s="1415" t="s">
        <v>965</v>
      </c>
      <c r="C220" s="1416"/>
      <c r="D220" s="1416"/>
      <c r="E220" s="1416"/>
      <c r="F220" s="1416"/>
      <c r="G220" s="1416"/>
      <c r="H220" s="1416"/>
      <c r="I220" s="1416"/>
      <c r="J220" s="1416"/>
      <c r="K220" s="1417"/>
      <c r="M220" s="144"/>
    </row>
    <row r="221" spans="2:13" ht="69" customHeight="1" x14ac:dyDescent="0.4">
      <c r="B221" s="1415" t="s">
        <v>966</v>
      </c>
      <c r="C221" s="1416"/>
      <c r="D221" s="1416"/>
      <c r="E221" s="1416"/>
      <c r="F221" s="1416"/>
      <c r="G221" s="1416"/>
      <c r="H221" s="1416"/>
      <c r="I221" s="1416"/>
      <c r="J221" s="1416"/>
      <c r="K221" s="1417"/>
      <c r="M221" s="144"/>
    </row>
    <row r="222" spans="2:13" ht="18" customHeight="1" x14ac:dyDescent="0.4">
      <c r="B222" s="826"/>
      <c r="C222" s="814"/>
      <c r="D222" s="814"/>
      <c r="E222" s="814"/>
      <c r="F222" s="971"/>
      <c r="G222" s="971"/>
      <c r="H222" s="971"/>
      <c r="I222" s="971"/>
      <c r="J222" s="971"/>
      <c r="K222" s="989"/>
      <c r="M222" s="144"/>
    </row>
    <row r="223" spans="2:13" x14ac:dyDescent="0.4">
      <c r="B223" s="1042" t="s">
        <v>52</v>
      </c>
      <c r="C223" s="952" t="s">
        <v>34</v>
      </c>
      <c r="D223" s="1005" t="s">
        <v>35</v>
      </c>
      <c r="E223" s="1005" t="s">
        <v>33</v>
      </c>
      <c r="F223" s="971"/>
      <c r="G223" s="971"/>
      <c r="H223" s="971"/>
      <c r="I223" s="971"/>
      <c r="J223" s="971"/>
      <c r="K223" s="989"/>
      <c r="M223" s="144"/>
    </row>
    <row r="224" spans="2:13" x14ac:dyDescent="0.4">
      <c r="B224" s="260" t="s">
        <v>180</v>
      </c>
      <c r="C224" s="189"/>
      <c r="D224" s="287" t="s">
        <v>218</v>
      </c>
      <c r="E224" s="1035" t="s">
        <v>178</v>
      </c>
      <c r="F224" s="971"/>
      <c r="G224" s="971"/>
      <c r="H224" s="971"/>
      <c r="I224" s="971"/>
      <c r="J224" s="971"/>
      <c r="K224" s="989"/>
      <c r="M224" s="144"/>
    </row>
    <row r="225" spans="2:13" x14ac:dyDescent="0.4">
      <c r="B225" s="260" t="s">
        <v>79</v>
      </c>
      <c r="C225" s="122" t="str">
        <f>IF(C224="","",IF(C224&gt;80, "No","Yes"))</f>
        <v/>
      </c>
      <c r="D225" s="272" t="s">
        <v>178</v>
      </c>
      <c r="E225" s="975" t="s">
        <v>178</v>
      </c>
      <c r="F225" s="506"/>
      <c r="G225" s="506"/>
      <c r="H225" s="506"/>
      <c r="I225" s="506"/>
      <c r="J225" s="506"/>
      <c r="K225" s="1036"/>
      <c r="L225" s="133"/>
      <c r="M225" s="144"/>
    </row>
    <row r="226" spans="2:13" x14ac:dyDescent="0.4">
      <c r="B226" s="260" t="s">
        <v>91</v>
      </c>
      <c r="C226" s="111"/>
      <c r="D226" s="271" t="s">
        <v>51</v>
      </c>
      <c r="E226" s="975" t="s">
        <v>178</v>
      </c>
      <c r="F226" s="506"/>
      <c r="G226" s="506"/>
      <c r="H226" s="506"/>
      <c r="I226" s="506"/>
      <c r="J226" s="506"/>
      <c r="K226" s="1036"/>
      <c r="L226" s="133"/>
      <c r="M226" s="144"/>
    </row>
    <row r="227" spans="2:13" x14ac:dyDescent="0.4">
      <c r="B227" s="260" t="s">
        <v>92</v>
      </c>
      <c r="C227" s="111"/>
      <c r="D227" s="271" t="s">
        <v>51</v>
      </c>
      <c r="E227" s="975" t="s">
        <v>178</v>
      </c>
      <c r="F227" s="971"/>
      <c r="G227" s="971"/>
      <c r="H227" s="971"/>
      <c r="I227" s="971"/>
      <c r="J227" s="971"/>
      <c r="K227" s="989"/>
      <c r="M227" s="144"/>
    </row>
    <row r="228" spans="2:13" x14ac:dyDescent="0.4">
      <c r="B228" s="260" t="s">
        <v>93</v>
      </c>
      <c r="C228" s="122" t="str">
        <f>IF(OR(C226="",C227=""),"", IF(ABS(C226-C227)&lt;5,"Yes","No"))</f>
        <v/>
      </c>
      <c r="D228" s="272" t="s">
        <v>178</v>
      </c>
      <c r="E228" s="975" t="s">
        <v>178</v>
      </c>
      <c r="F228" s="971"/>
      <c r="G228" s="971"/>
      <c r="H228" s="971"/>
      <c r="I228" s="971"/>
      <c r="J228" s="971"/>
      <c r="K228" s="989"/>
      <c r="M228" s="144"/>
    </row>
    <row r="229" spans="2:13" x14ac:dyDescent="0.4">
      <c r="B229" s="260" t="s">
        <v>89</v>
      </c>
      <c r="C229" s="111"/>
      <c r="D229" s="271" t="s">
        <v>51</v>
      </c>
      <c r="E229" s="975" t="s">
        <v>178</v>
      </c>
      <c r="F229" s="971"/>
      <c r="G229" s="971"/>
      <c r="H229" s="971"/>
      <c r="I229" s="971"/>
      <c r="J229" s="971"/>
      <c r="K229" s="989"/>
      <c r="M229" s="144"/>
    </row>
    <row r="230" spans="2:13" x14ac:dyDescent="0.4">
      <c r="B230" s="260" t="s">
        <v>61</v>
      </c>
      <c r="C230" s="111"/>
      <c r="D230" s="271" t="s">
        <v>245</v>
      </c>
      <c r="E230" s="975" t="s">
        <v>59</v>
      </c>
      <c r="F230" s="971"/>
      <c r="G230" s="971"/>
      <c r="H230" s="971"/>
      <c r="I230" s="971"/>
      <c r="J230" s="971"/>
      <c r="K230" s="989"/>
      <c r="M230" s="144"/>
    </row>
    <row r="231" spans="2:13" x14ac:dyDescent="0.4">
      <c r="B231" s="260" t="s">
        <v>94</v>
      </c>
      <c r="C231" s="122" t="str">
        <f>IF(ISERROR(AVERAGE(D237:D239)),"",IF(STDEV(D237:D239)&lt;(0.2*AVERAGE(D237:D239)),"Yes","No. Conduct 3 More Cycles"))</f>
        <v/>
      </c>
      <c r="D231" s="271" t="s">
        <v>178</v>
      </c>
      <c r="E231" s="975" t="s">
        <v>178</v>
      </c>
      <c r="F231" s="971"/>
      <c r="G231" s="971"/>
      <c r="H231" s="971"/>
      <c r="I231" s="971"/>
      <c r="J231" s="971"/>
      <c r="K231" s="989"/>
      <c r="M231" s="144"/>
    </row>
    <row r="232" spans="2:13" ht="16.5" x14ac:dyDescent="0.4">
      <c r="B232" s="459" t="s">
        <v>90</v>
      </c>
      <c r="C232" s="122" t="str">
        <f>IF(SUM(C237:C242)=0,"",SUM(C237:C242))</f>
        <v/>
      </c>
      <c r="D232" s="460" t="s">
        <v>80</v>
      </c>
      <c r="E232" s="1014" t="s">
        <v>689</v>
      </c>
      <c r="F232" s="971"/>
      <c r="G232" s="971"/>
      <c r="H232" s="971"/>
      <c r="I232" s="971"/>
      <c r="J232" s="971"/>
      <c r="K232" s="989"/>
      <c r="M232" s="144"/>
    </row>
    <row r="233" spans="2:13" ht="16.5" x14ac:dyDescent="0.4">
      <c r="B233" s="1078" t="s">
        <v>95</v>
      </c>
      <c r="C233" s="122" t="str">
        <f>IF(SUM(D237:D242)=0,"",SUM(D237:D242))</f>
        <v/>
      </c>
      <c r="D233" s="1076" t="s">
        <v>76</v>
      </c>
      <c r="E233" s="1077" t="s">
        <v>688</v>
      </c>
      <c r="F233" s="971"/>
      <c r="G233" s="971"/>
      <c r="H233" s="971"/>
      <c r="I233" s="971"/>
      <c r="J233" s="971"/>
      <c r="K233" s="989"/>
      <c r="M233" s="144"/>
    </row>
    <row r="234" spans="2:13" x14ac:dyDescent="0.4">
      <c r="B234" s="446"/>
      <c r="C234" s="444"/>
      <c r="D234" s="444"/>
      <c r="E234" s="1074"/>
      <c r="F234" s="971"/>
      <c r="G234" s="971"/>
      <c r="H234" s="971"/>
      <c r="I234" s="971"/>
      <c r="J234" s="971"/>
      <c r="K234" s="989"/>
      <c r="M234" s="144"/>
    </row>
    <row r="235" spans="2:13" ht="31" x14ac:dyDescent="0.4">
      <c r="B235" s="446"/>
      <c r="C235" s="457" t="s">
        <v>90</v>
      </c>
      <c r="D235" s="457" t="s">
        <v>417</v>
      </c>
      <c r="E235" s="1074"/>
      <c r="F235" s="971"/>
      <c r="G235" s="971"/>
      <c r="H235" s="971"/>
      <c r="I235" s="971"/>
      <c r="J235" s="971"/>
      <c r="K235" s="989"/>
      <c r="M235" s="144"/>
    </row>
    <row r="236" spans="2:13" x14ac:dyDescent="0.4">
      <c r="B236" s="462" t="s">
        <v>418</v>
      </c>
      <c r="C236" s="461" t="s">
        <v>80</v>
      </c>
      <c r="D236" s="461" t="s">
        <v>76</v>
      </c>
      <c r="E236" s="1074"/>
      <c r="F236" s="971"/>
      <c r="G236" s="971"/>
      <c r="H236" s="971"/>
      <c r="I236" s="971"/>
      <c r="J236" s="971"/>
      <c r="K236" s="989"/>
      <c r="M236" s="144"/>
    </row>
    <row r="237" spans="2:13" x14ac:dyDescent="0.4">
      <c r="B237" s="463">
        <v>1</v>
      </c>
      <c r="C237" s="111"/>
      <c r="D237" s="111"/>
      <c r="E237" s="1074"/>
      <c r="F237" s="971"/>
      <c r="G237" s="971"/>
      <c r="H237" s="971"/>
      <c r="I237" s="971"/>
      <c r="J237" s="971"/>
      <c r="K237" s="989"/>
      <c r="M237" s="144"/>
    </row>
    <row r="238" spans="2:13" x14ac:dyDescent="0.4">
      <c r="B238" s="464">
        <v>2</v>
      </c>
      <c r="C238" s="111"/>
      <c r="D238" s="111"/>
      <c r="E238" s="1074"/>
      <c r="F238" s="971"/>
      <c r="G238" s="971"/>
      <c r="H238" s="971"/>
      <c r="I238" s="971"/>
      <c r="J238" s="971"/>
      <c r="K238" s="989"/>
      <c r="M238" s="144"/>
    </row>
    <row r="239" spans="2:13" x14ac:dyDescent="0.4">
      <c r="B239" s="465">
        <v>3</v>
      </c>
      <c r="C239" s="111"/>
      <c r="D239" s="111"/>
      <c r="E239" s="1074"/>
      <c r="F239" s="971"/>
      <c r="G239" s="971"/>
      <c r="H239" s="971"/>
      <c r="I239" s="971"/>
      <c r="J239" s="971"/>
      <c r="K239" s="989"/>
      <c r="M239" s="144"/>
    </row>
    <row r="240" spans="2:13" x14ac:dyDescent="0.4">
      <c r="B240" s="466" t="s">
        <v>419</v>
      </c>
      <c r="C240" s="111"/>
      <c r="D240" s="111"/>
      <c r="E240" s="1074"/>
      <c r="F240" s="971"/>
      <c r="G240" s="971"/>
      <c r="H240" s="971"/>
      <c r="I240" s="971"/>
      <c r="J240" s="971"/>
      <c r="K240" s="989"/>
      <c r="M240" s="144"/>
    </row>
    <row r="241" spans="1:13" x14ac:dyDescent="0.4">
      <c r="B241" s="467" t="s">
        <v>420</v>
      </c>
      <c r="C241" s="111"/>
      <c r="D241" s="111"/>
      <c r="E241" s="1074"/>
      <c r="F241" s="971"/>
      <c r="G241" s="971"/>
      <c r="H241" s="971"/>
      <c r="I241" s="971"/>
      <c r="J241" s="971"/>
      <c r="K241" s="989"/>
      <c r="M241" s="144"/>
    </row>
    <row r="242" spans="1:13" ht="16" thickBot="1" x14ac:dyDescent="0.45">
      <c r="B242" s="468" t="s">
        <v>421</v>
      </c>
      <c r="C242" s="121"/>
      <c r="D242" s="121"/>
      <c r="E242" s="1075"/>
      <c r="F242" s="1063"/>
      <c r="G242" s="1063"/>
      <c r="H242" s="1063"/>
      <c r="I242" s="1063"/>
      <c r="J242" s="1063"/>
      <c r="K242" s="988"/>
      <c r="M242" s="144"/>
    </row>
    <row r="243" spans="1:13" x14ac:dyDescent="0.4">
      <c r="B243" s="138"/>
      <c r="C243" s="138"/>
      <c r="D243" s="138"/>
      <c r="E243" s="138"/>
      <c r="M243" s="144"/>
    </row>
    <row r="244" spans="1:13" ht="16" thickBot="1" x14ac:dyDescent="0.45">
      <c r="B244" s="157"/>
      <c r="C244" s="138"/>
      <c r="D244" s="138"/>
      <c r="E244" s="138"/>
      <c r="M244" s="331"/>
    </row>
    <row r="245" spans="1:13" ht="16" thickBot="1" x14ac:dyDescent="0.45">
      <c r="B245" s="1409" t="str">
        <f>"Appendix N, Section 8.10: Optional test procedures for condensing furnaces and boilers that have no off-period flue losses." &amp;
IF('General Info &amp; Test Results'!C49="Non-Condensing"," - NOT REQUIRED FOR THIS TEST","")</f>
        <v>Appendix N, Section 8.10: Optional test procedures for condensing furnaces and boilers that have no off-period flue losses.</v>
      </c>
      <c r="C245" s="1410"/>
      <c r="D245" s="1410"/>
      <c r="E245" s="1410"/>
      <c r="F245" s="1410"/>
      <c r="G245" s="1410"/>
      <c r="H245" s="1410"/>
      <c r="I245" s="1410"/>
      <c r="J245" s="1410"/>
      <c r="K245" s="1411"/>
      <c r="M245" s="331"/>
    </row>
    <row r="246" spans="1:13" ht="54.75" customHeight="1" x14ac:dyDescent="0.4">
      <c r="B246" s="1432" t="s">
        <v>902</v>
      </c>
      <c r="C246" s="1433"/>
      <c r="D246" s="1433"/>
      <c r="E246" s="1433"/>
      <c r="F246" s="1433"/>
      <c r="G246" s="1433"/>
      <c r="H246" s="1433"/>
      <c r="I246" s="1433"/>
      <c r="J246" s="1433"/>
      <c r="K246" s="1434"/>
      <c r="M246" s="331"/>
    </row>
    <row r="247" spans="1:13" x14ac:dyDescent="0.4">
      <c r="B247" s="1042" t="s">
        <v>52</v>
      </c>
      <c r="C247" s="952" t="s">
        <v>34</v>
      </c>
      <c r="D247" s="1005" t="s">
        <v>35</v>
      </c>
      <c r="E247" s="1005" t="s">
        <v>33</v>
      </c>
      <c r="F247" s="506"/>
      <c r="G247" s="506"/>
      <c r="H247" s="506"/>
      <c r="I247" s="506"/>
      <c r="J247" s="506"/>
      <c r="K247" s="1036"/>
      <c r="M247" s="331"/>
    </row>
    <row r="248" spans="1:13" x14ac:dyDescent="0.4">
      <c r="B248" s="333" t="s">
        <v>262</v>
      </c>
      <c r="C248" s="334"/>
      <c r="D248" s="271" t="s">
        <v>178</v>
      </c>
      <c r="E248" s="975" t="s">
        <v>178</v>
      </c>
      <c r="F248" s="506"/>
      <c r="G248" s="506"/>
      <c r="H248" s="506"/>
      <c r="I248" s="506"/>
      <c r="J248" s="506"/>
      <c r="K248" s="1036"/>
      <c r="M248" s="331"/>
    </row>
    <row r="249" spans="1:13" ht="46.5" x14ac:dyDescent="0.4">
      <c r="B249" s="330" t="s">
        <v>263</v>
      </c>
      <c r="C249" s="124" t="str">
        <f>IF('Test Conditions'!$D$66="","Fill in Tracer Gas Draft Factors table on Test Conditions tab",'Test Conditions'!$D$66)</f>
        <v>Fill in Tracer Gas Draft Factors table on Test Conditions tab</v>
      </c>
      <c r="D249" s="271" t="s">
        <v>178</v>
      </c>
      <c r="E249" s="975" t="s">
        <v>178</v>
      </c>
      <c r="F249" s="506"/>
      <c r="G249" s="506"/>
      <c r="H249" s="506"/>
      <c r="I249" s="506"/>
      <c r="J249" s="506"/>
      <c r="K249" s="1036"/>
      <c r="M249" s="331"/>
    </row>
    <row r="250" spans="1:13" ht="31.5" thickBot="1" x14ac:dyDescent="0.45">
      <c r="B250" s="289" t="s">
        <v>264</v>
      </c>
      <c r="C250" s="121"/>
      <c r="D250" s="276" t="s">
        <v>178</v>
      </c>
      <c r="E250" s="1038" t="s">
        <v>178</v>
      </c>
      <c r="F250" s="1050"/>
      <c r="G250" s="1050"/>
      <c r="H250" s="1050"/>
      <c r="I250" s="1050"/>
      <c r="J250" s="1050"/>
      <c r="K250" s="1051"/>
      <c r="M250" s="331"/>
    </row>
    <row r="251" spans="1:13" x14ac:dyDescent="0.4">
      <c r="B251" s="157"/>
      <c r="C251" s="138"/>
      <c r="D251" s="138"/>
      <c r="E251" s="138"/>
      <c r="M251" s="331"/>
    </row>
    <row r="252" spans="1:13" x14ac:dyDescent="0.4">
      <c r="B252" s="157"/>
      <c r="C252" s="138"/>
      <c r="D252" s="138"/>
      <c r="E252" s="138"/>
      <c r="M252" s="331"/>
    </row>
    <row r="253" spans="1:13" x14ac:dyDescent="0.4">
      <c r="A253" s="144"/>
      <c r="B253" s="144"/>
      <c r="C253" s="144"/>
      <c r="D253" s="144"/>
      <c r="E253" s="144"/>
      <c r="F253" s="151"/>
      <c r="G253" s="332"/>
      <c r="H253" s="332"/>
      <c r="I253" s="332"/>
      <c r="J253" s="332"/>
      <c r="K253" s="332"/>
      <c r="L253" s="332"/>
      <c r="M253" s="331"/>
    </row>
    <row r="254" spans="1:13" x14ac:dyDescent="0.4">
      <c r="B254" s="138"/>
      <c r="C254" s="138"/>
      <c r="D254" s="138"/>
      <c r="E254" s="138"/>
      <c r="G254" s="138"/>
      <c r="H254" s="138"/>
      <c r="I254" s="138"/>
      <c r="J254" s="138"/>
      <c r="K254" s="138"/>
      <c r="L254" s="138"/>
    </row>
    <row r="255" spans="1:13" x14ac:dyDescent="0.4">
      <c r="B255" s="138"/>
      <c r="C255" s="138"/>
      <c r="D255" s="138"/>
      <c r="E255" s="138"/>
    </row>
    <row r="256" spans="1:13" x14ac:dyDescent="0.4">
      <c r="B256" s="138"/>
      <c r="C256" s="138"/>
      <c r="D256" s="138"/>
      <c r="E256" s="138"/>
    </row>
    <row r="257" spans="2:6" x14ac:dyDescent="0.4">
      <c r="B257" s="138"/>
      <c r="C257" s="138"/>
      <c r="D257" s="138"/>
      <c r="E257" s="138"/>
    </row>
    <row r="258" spans="2:6" x14ac:dyDescent="0.4">
      <c r="B258" s="146"/>
      <c r="C258" s="130"/>
      <c r="D258" s="138"/>
      <c r="F258" s="138"/>
    </row>
    <row r="259" spans="2:6" x14ac:dyDescent="0.4">
      <c r="B259" s="138"/>
      <c r="C259" s="130"/>
      <c r="D259" s="138"/>
    </row>
    <row r="260" spans="2:6" x14ac:dyDescent="0.4">
      <c r="B260" s="138"/>
      <c r="C260" s="130"/>
      <c r="D260" s="138"/>
    </row>
    <row r="264" spans="2:6" x14ac:dyDescent="0.4">
      <c r="D264" s="1136"/>
      <c r="E264" s="971"/>
    </row>
  </sheetData>
  <sheetProtection algorithmName="SHA-512" hashValue="zOHJ+w3W54mHRZxpjYvpiEXr35KQ/i9yhia2y7ibxQ8kDRJfJgcYtccXrcsfAVcZ7hK2qe4llycDMqCBQBUqlw==" saltValue="NpwUz9o1KIgGSgN6ghKe/g==" spinCount="100000" sheet="1" selectLockedCells="1"/>
  <mergeCells count="82">
    <mergeCell ref="B2:C2"/>
    <mergeCell ref="B199:K199"/>
    <mergeCell ref="B204:K204"/>
    <mergeCell ref="B205:K205"/>
    <mergeCell ref="B209:K209"/>
    <mergeCell ref="B145:K145"/>
    <mergeCell ref="B148:B149"/>
    <mergeCell ref="C148:D148"/>
    <mergeCell ref="E148:F148"/>
    <mergeCell ref="G148:G149"/>
    <mergeCell ref="H148:H149"/>
    <mergeCell ref="B34:H34"/>
    <mergeCell ref="C41:D41"/>
    <mergeCell ref="E41:F41"/>
    <mergeCell ref="G41:G42"/>
    <mergeCell ref="H41:H42"/>
    <mergeCell ref="B61:K61"/>
    <mergeCell ref="B60:K60"/>
    <mergeCell ref="B35:B36"/>
    <mergeCell ref="B41:B42"/>
    <mergeCell ref="B49:B50"/>
    <mergeCell ref="B40:H40"/>
    <mergeCell ref="C49:D49"/>
    <mergeCell ref="E49:F49"/>
    <mergeCell ref="G49:G50"/>
    <mergeCell ref="H49:H50"/>
    <mergeCell ref="B48:H48"/>
    <mergeCell ref="E35:F35"/>
    <mergeCell ref="G35:G36"/>
    <mergeCell ref="H35:H36"/>
    <mergeCell ref="C35:D35"/>
    <mergeCell ref="B59:K59"/>
    <mergeCell ref="B32:K32"/>
    <mergeCell ref="B30:K30"/>
    <mergeCell ref="B25:K25"/>
    <mergeCell ref="B18:K18"/>
    <mergeCell ref="B12:K12"/>
    <mergeCell ref="B14:K14"/>
    <mergeCell ref="B58:K58"/>
    <mergeCell ref="B55:K55"/>
    <mergeCell ref="B54:K54"/>
    <mergeCell ref="B53:K53"/>
    <mergeCell ref="B57:I57"/>
    <mergeCell ref="B62:K62"/>
    <mergeCell ref="B63:K63"/>
    <mergeCell ref="B91:K91"/>
    <mergeCell ref="B92:K92"/>
    <mergeCell ref="B85:K85"/>
    <mergeCell ref="B86:K86"/>
    <mergeCell ref="B103:K103"/>
    <mergeCell ref="B104:K104"/>
    <mergeCell ref="B245:K245"/>
    <mergeCell ref="B246:K246"/>
    <mergeCell ref="B115:K115"/>
    <mergeCell ref="B161:K161"/>
    <mergeCell ref="B165:K165"/>
    <mergeCell ref="B169:K169"/>
    <mergeCell ref="B177:K177"/>
    <mergeCell ref="B181:K181"/>
    <mergeCell ref="B183:K183"/>
    <mergeCell ref="B187:K187"/>
    <mergeCell ref="B188:K188"/>
    <mergeCell ref="B195:K195"/>
    <mergeCell ref="B147:E147"/>
    <mergeCell ref="B152:E152"/>
    <mergeCell ref="B116:K116"/>
    <mergeCell ref="B118:K118"/>
    <mergeCell ref="B130:K130"/>
    <mergeCell ref="B138:K138"/>
    <mergeCell ref="B143:K143"/>
    <mergeCell ref="B153:B154"/>
    <mergeCell ref="C153:D153"/>
    <mergeCell ref="E153:F153"/>
    <mergeCell ref="G153:G154"/>
    <mergeCell ref="H153:H154"/>
    <mergeCell ref="B215:K215"/>
    <mergeCell ref="B216:K216"/>
    <mergeCell ref="B221:K221"/>
    <mergeCell ref="B220:K220"/>
    <mergeCell ref="B219:K219"/>
    <mergeCell ref="B218:K218"/>
    <mergeCell ref="B217:K217"/>
  </mergeCells>
  <phoneticPr fontId="29" type="noConversion"/>
  <conditionalFormatting sqref="C121:E121 B138 D123:E123 D120:E121 C124:E124 B126:E128 B132:E133 B139:E142 B137:K137 B115:B131 B134 B158:K158">
    <cfRule type="expression" dxfId="1" priority="35">
      <formula>$C$250="No"</formula>
    </cfRule>
  </conditionalFormatting>
  <conditionalFormatting sqref="F101:F102 F105:F114 F247:F250 F117 F119:F129 F131:F133">
    <cfRule type="expression" priority="45">
      <formula>$C$250="No"</formula>
    </cfRule>
  </conditionalFormatting>
  <dataValidations count="2">
    <dataValidation type="decimal" allowBlank="1" showInputMessage="1" showErrorMessage="1" sqref="C94 C97:C99 C224 C226:C227 C20:C21 C27:C28 C140:C141 C229:C230 C237:D242 C106 C110:C112 C17 E77:E78 C43:D45 C71 C51:D51 C150:D150 C155:D157 C127:C128 C132:C133 C79:K81" xr:uid="{0B82961B-1D7C-480F-9843-20554AB9F004}">
      <formula1>-1E+26</formula1>
      <formula2>1E+26</formula2>
    </dataValidation>
    <dataValidation type="whole" allowBlank="1" showInputMessage="1" showErrorMessage="1" sqref="C121 C124" xr:uid="{FB157F05-1BDC-4CAC-ABE7-6BF2CD7CB549}">
      <formula1>0</formula1>
      <formula2>180</formula2>
    </dataValidation>
  </dataValidations>
  <hyperlinks>
    <hyperlink ref="F4" location="Instructions!C33" display="Back to Instructions tab" xr:uid="{00000000-0004-0000-0700-000000000000}"/>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B852E52-FC34-459E-A011-020F21F527A8}">
          <x14:formula1>
            <xm:f>'Drop-Downs and Tables'!$B$92:$B$94</xm:f>
          </x14:formula1>
          <xm:sqref>C248 C120 C123 C250 C163 C22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C05BA-ED02-465A-8580-C476329CB167}">
  <sheetPr codeName="Sheet17">
    <tabColor rgb="FF0070C0"/>
  </sheetPr>
  <dimension ref="A1:P260"/>
  <sheetViews>
    <sheetView showGridLines="0" zoomScale="80" zoomScaleNormal="80" workbookViewId="0">
      <selection activeCell="F4" sqref="F4"/>
    </sheetView>
  </sheetViews>
  <sheetFormatPr defaultColWidth="9" defaultRowHeight="15.5" x14ac:dyDescent="0.4"/>
  <cols>
    <col min="1" max="1" width="3.6328125" style="138" customWidth="1"/>
    <col min="2" max="2" width="77.6328125" style="147" customWidth="1"/>
    <col min="3" max="3" width="28.08984375" style="126" customWidth="1"/>
    <col min="4" max="11" width="13.08984375" style="146" customWidth="1"/>
    <col min="12" max="12" width="10.7265625" style="146" customWidth="1"/>
    <col min="13" max="13" width="3.26953125" style="138" customWidth="1"/>
    <col min="14" max="14" width="34.90625" style="138" customWidth="1"/>
    <col min="15" max="15" width="9" style="138"/>
    <col min="16" max="16" width="11.90625" style="138" customWidth="1"/>
    <col min="17" max="16384" width="9" style="138"/>
  </cols>
  <sheetData>
    <row r="1" spans="2:13" ht="17.25" customHeight="1" thickBot="1" x14ac:dyDescent="0.45">
      <c r="M1" s="144"/>
    </row>
    <row r="2" spans="2:13" ht="16" thickBot="1" x14ac:dyDescent="0.45">
      <c r="B2" s="1266" t="s">
        <v>236</v>
      </c>
      <c r="C2" s="1267"/>
      <c r="D2" s="239"/>
      <c r="F2" s="138"/>
      <c r="G2" s="138"/>
      <c r="H2" s="138"/>
      <c r="I2" s="138"/>
      <c r="J2" s="138"/>
      <c r="K2" s="138"/>
      <c r="L2" s="138"/>
      <c r="M2" s="144"/>
    </row>
    <row r="3" spans="2:13" ht="15" customHeight="1" x14ac:dyDescent="0.4">
      <c r="B3" s="229" t="s">
        <v>237</v>
      </c>
      <c r="C3" s="230" t="str">
        <f>'Version Control'!C3</f>
        <v>Consumer Boiler</v>
      </c>
      <c r="D3" s="244"/>
      <c r="F3" s="138"/>
      <c r="G3" s="138"/>
      <c r="H3" s="138"/>
      <c r="I3" s="138"/>
      <c r="J3" s="138"/>
      <c r="K3" s="138"/>
      <c r="L3" s="138"/>
      <c r="M3" s="144"/>
    </row>
    <row r="4" spans="2:13" ht="17" x14ac:dyDescent="0.4">
      <c r="B4" s="231" t="s">
        <v>119</v>
      </c>
      <c r="C4" s="232" t="str">
        <f>'Version Control'!C4</f>
        <v>v1.1</v>
      </c>
      <c r="D4" s="178"/>
      <c r="F4" s="76" t="s">
        <v>126</v>
      </c>
      <c r="G4" s="138"/>
      <c r="H4" s="138"/>
      <c r="I4" s="138"/>
      <c r="J4" s="138"/>
      <c r="K4" s="138"/>
      <c r="L4" s="138"/>
      <c r="M4" s="144"/>
    </row>
    <row r="5" spans="2:13" x14ac:dyDescent="0.4">
      <c r="B5" s="231" t="s">
        <v>120</v>
      </c>
      <c r="C5" s="233">
        <f>'Version Control'!C5</f>
        <v>43721</v>
      </c>
      <c r="D5" s="178"/>
      <c r="F5" s="138"/>
      <c r="G5" s="138"/>
      <c r="H5" s="138"/>
      <c r="I5" s="138"/>
      <c r="J5" s="138"/>
      <c r="K5" s="138"/>
      <c r="L5" s="138"/>
      <c r="M5" s="144"/>
    </row>
    <row r="6" spans="2:13" ht="17.5" customHeight="1" x14ac:dyDescent="0.4">
      <c r="B6" s="234" t="s">
        <v>118</v>
      </c>
      <c r="C6" s="235" t="str">
        <f ca="1">MID(CELL("filename",A1), FIND("]", CELL("filename", A1))+ 1, 255)</f>
        <v>Reduced Test</v>
      </c>
      <c r="D6" s="178"/>
      <c r="F6" s="138"/>
      <c r="G6" s="138"/>
      <c r="H6" s="138"/>
      <c r="I6" s="138"/>
      <c r="J6" s="138"/>
      <c r="K6" s="138"/>
      <c r="L6" s="138"/>
      <c r="M6" s="144"/>
    </row>
    <row r="7" spans="2:13" x14ac:dyDescent="0.4">
      <c r="B7" s="236" t="s">
        <v>117</v>
      </c>
      <c r="C7" s="1109" t="str">
        <f ca="1">'Version Control'!C7</f>
        <v>Consumer Boiler - v1.1.xlsx</v>
      </c>
      <c r="D7" s="178"/>
      <c r="F7" s="138"/>
      <c r="G7" s="138"/>
      <c r="H7" s="138"/>
      <c r="I7" s="138"/>
      <c r="J7" s="138"/>
      <c r="K7" s="138"/>
      <c r="L7" s="138"/>
      <c r="M7" s="144"/>
    </row>
    <row r="8" spans="2:13" ht="16" thickBot="1" x14ac:dyDescent="0.45">
      <c r="B8" s="237" t="s">
        <v>121</v>
      </c>
      <c r="C8" s="238">
        <f>'Version Control'!C8</f>
        <v>0</v>
      </c>
      <c r="D8" s="162"/>
      <c r="F8" s="138"/>
      <c r="G8" s="138"/>
      <c r="H8" s="138"/>
      <c r="I8" s="138"/>
      <c r="J8" s="138"/>
      <c r="K8" s="138"/>
      <c r="L8" s="138"/>
      <c r="M8" s="144"/>
    </row>
    <row r="9" spans="2:13" x14ac:dyDescent="0.4">
      <c r="M9" s="144"/>
    </row>
    <row r="10" spans="2:13" s="133" customFormat="1" ht="16" thickBot="1" x14ac:dyDescent="0.45">
      <c r="B10" s="263"/>
      <c r="C10" s="281"/>
      <c r="D10" s="263"/>
      <c r="E10" s="282"/>
      <c r="M10" s="150"/>
    </row>
    <row r="11" spans="2:13" ht="18" customHeight="1" thickBot="1" x14ac:dyDescent="0.45">
      <c r="B11" s="1409" t="str">
        <f>"ASHRAE 103-1993, Section 9.1: Steady-State Test, All Gas and Oil-Fired Units (except Electric) AND Appendix N, Sections 8.1 - 8.3" &amp;
IF(OR('General Info &amp; Test Results'!C37="Electricity",'General Info &amp; Test Results'!C50="Single Stage")," - NOT REQUIRED FOR THIS TEST","")</f>
        <v>ASHRAE 103-1993, Section 9.1: Steady-State Test, All Gas and Oil-Fired Units (except Electric) AND Appendix N, Sections 8.1 - 8.3</v>
      </c>
      <c r="C11" s="1410"/>
      <c r="D11" s="1410"/>
      <c r="E11" s="1410"/>
      <c r="F11" s="1410"/>
      <c r="G11" s="1410"/>
      <c r="H11" s="1410"/>
      <c r="I11" s="1410"/>
      <c r="J11" s="1410"/>
      <c r="K11" s="1411"/>
      <c r="L11" s="138"/>
      <c r="M11" s="144"/>
    </row>
    <row r="12" spans="2:13" ht="34.5" customHeight="1" thickBot="1" x14ac:dyDescent="0.45">
      <c r="B12" s="1482" t="s">
        <v>903</v>
      </c>
      <c r="C12" s="1483"/>
      <c r="D12" s="1483"/>
      <c r="E12" s="1483"/>
      <c r="F12" s="1483"/>
      <c r="G12" s="1483"/>
      <c r="H12" s="1483"/>
      <c r="I12" s="1483"/>
      <c r="J12" s="1483"/>
      <c r="K12" s="1484"/>
      <c r="L12" s="138"/>
      <c r="M12" s="144"/>
    </row>
    <row r="13" spans="2:13" ht="16" thickBot="1" x14ac:dyDescent="0.45">
      <c r="B13" s="986"/>
      <c r="C13" s="987"/>
      <c r="D13" s="987"/>
      <c r="E13" s="987"/>
      <c r="F13" s="444"/>
      <c r="G13" s="444"/>
      <c r="H13" s="444"/>
      <c r="I13" s="444"/>
      <c r="J13" s="444"/>
      <c r="K13" s="447"/>
      <c r="L13" s="138"/>
      <c r="M13" s="144"/>
    </row>
    <row r="14" spans="2:13" s="146" customFormat="1" ht="52.5" customHeight="1" x14ac:dyDescent="0.4">
      <c r="B14" s="1485" t="s">
        <v>406</v>
      </c>
      <c r="C14" s="1486"/>
      <c r="D14" s="1486"/>
      <c r="E14" s="1486"/>
      <c r="F14" s="1486"/>
      <c r="G14" s="1486"/>
      <c r="H14" s="1486"/>
      <c r="I14" s="1486"/>
      <c r="J14" s="1486"/>
      <c r="K14" s="1487"/>
      <c r="M14" s="151"/>
    </row>
    <row r="15" spans="2:13" s="156" customFormat="1" x14ac:dyDescent="0.4">
      <c r="B15" s="1102" t="s">
        <v>52</v>
      </c>
      <c r="C15" s="1099" t="s">
        <v>34</v>
      </c>
      <c r="D15" s="1100" t="s">
        <v>35</v>
      </c>
      <c r="E15" s="1100" t="s">
        <v>33</v>
      </c>
      <c r="F15" s="972"/>
      <c r="G15" s="972"/>
      <c r="H15" s="972"/>
      <c r="I15" s="972"/>
      <c r="J15" s="972"/>
      <c r="K15" s="1002"/>
      <c r="M15" s="152"/>
    </row>
    <row r="16" spans="2:13" ht="18" thickBot="1" x14ac:dyDescent="0.45">
      <c r="B16" s="819" t="s">
        <v>403</v>
      </c>
      <c r="C16" s="123" t="str">
        <f>IF('General Info &amp; Test Results'!C30="","",'General Info &amp; Test Results'!C30)</f>
        <v/>
      </c>
      <c r="D16" s="820" t="str">
        <f>IF('General Info &amp; Test Results'!$C$37="Electricity","kW","Btu/h")</f>
        <v>Btu/h</v>
      </c>
      <c r="E16" s="1130" t="s">
        <v>522</v>
      </c>
      <c r="F16" s="1131" t="s">
        <v>422</v>
      </c>
      <c r="G16" s="1063"/>
      <c r="H16" s="1063"/>
      <c r="I16" s="1063"/>
      <c r="J16" s="1063"/>
      <c r="K16" s="988"/>
      <c r="M16" s="144"/>
    </row>
    <row r="17" spans="2:16" ht="16" thickBot="1" x14ac:dyDescent="0.45">
      <c r="B17" s="476"/>
      <c r="C17" s="436"/>
      <c r="D17" s="335"/>
      <c r="E17" s="1110"/>
      <c r="F17" s="971"/>
      <c r="G17" s="971"/>
      <c r="H17" s="971"/>
      <c r="I17" s="971"/>
      <c r="J17" s="971"/>
      <c r="K17" s="989"/>
      <c r="M17" s="144"/>
      <c r="P17" s="153"/>
    </row>
    <row r="18" spans="2:16" ht="68.25" customHeight="1" x14ac:dyDescent="0.4">
      <c r="B18" s="1429" t="s">
        <v>407</v>
      </c>
      <c r="C18" s="1430"/>
      <c r="D18" s="1430"/>
      <c r="E18" s="1430"/>
      <c r="F18" s="1430"/>
      <c r="G18" s="1430"/>
      <c r="H18" s="1430"/>
      <c r="I18" s="1430"/>
      <c r="J18" s="1430"/>
      <c r="K18" s="1431"/>
      <c r="M18" s="144"/>
      <c r="P18" s="153"/>
    </row>
    <row r="19" spans="2:16" x14ac:dyDescent="0.4">
      <c r="B19" s="1102" t="s">
        <v>52</v>
      </c>
      <c r="C19" s="1099" t="s">
        <v>34</v>
      </c>
      <c r="D19" s="1100" t="s">
        <v>35</v>
      </c>
      <c r="E19" s="1100" t="s">
        <v>33</v>
      </c>
      <c r="F19" s="971"/>
      <c r="G19" s="971"/>
      <c r="H19" s="971"/>
      <c r="I19" s="971"/>
      <c r="J19" s="971"/>
      <c r="K19" s="989"/>
      <c r="M19" s="144"/>
      <c r="P19" s="153"/>
    </row>
    <row r="20" spans="2:16" ht="31" x14ac:dyDescent="0.4">
      <c r="B20" s="1132" t="s">
        <v>398</v>
      </c>
      <c r="C20" s="111"/>
      <c r="D20" s="287" t="s">
        <v>57</v>
      </c>
      <c r="E20" s="1122" t="s">
        <v>178</v>
      </c>
      <c r="F20" s="971"/>
      <c r="G20" s="971"/>
      <c r="H20" s="971"/>
      <c r="I20" s="971"/>
      <c r="J20" s="971"/>
      <c r="K20" s="989"/>
      <c r="M20" s="144"/>
      <c r="P20" s="153"/>
    </row>
    <row r="21" spans="2:16" x14ac:dyDescent="0.4">
      <c r="B21" s="445" t="s">
        <v>399</v>
      </c>
      <c r="C21" s="111"/>
      <c r="D21" s="439" t="s">
        <v>57</v>
      </c>
      <c r="E21" s="1118" t="s">
        <v>97</v>
      </c>
      <c r="F21" s="971"/>
      <c r="G21" s="971"/>
      <c r="H21" s="971"/>
      <c r="I21" s="971"/>
      <c r="J21" s="971"/>
      <c r="K21" s="989"/>
      <c r="M21" s="144"/>
      <c r="P21" s="153"/>
    </row>
    <row r="22" spans="2:16" ht="35.25" customHeight="1" x14ac:dyDescent="0.4">
      <c r="B22" s="450" t="s">
        <v>397</v>
      </c>
      <c r="C22" s="111"/>
      <c r="D22" s="272" t="s">
        <v>178</v>
      </c>
      <c r="E22" s="1118" t="s">
        <v>178</v>
      </c>
      <c r="F22" s="971"/>
      <c r="G22" s="971"/>
      <c r="H22" s="971"/>
      <c r="I22" s="971"/>
      <c r="J22" s="971"/>
      <c r="K22" s="989"/>
      <c r="M22" s="144"/>
      <c r="P22" s="153"/>
    </row>
    <row r="23" spans="2:16" ht="16" thickBot="1" x14ac:dyDescent="0.45">
      <c r="B23" s="821" t="s">
        <v>400</v>
      </c>
      <c r="C23" s="872" t="str">
        <f>IF(OR(C20="",C22=""),"",IF(AND(C22="No",C21=""),"Enter Boiler Pump Power",IF(C22="Yes",C20,C20+C21)))</f>
        <v/>
      </c>
      <c r="D23" s="823" t="s">
        <v>57</v>
      </c>
      <c r="E23" s="1125" t="s">
        <v>96</v>
      </c>
      <c r="F23" s="1063"/>
      <c r="G23" s="1063"/>
      <c r="H23" s="1063"/>
      <c r="I23" s="1063"/>
      <c r="J23" s="1063"/>
      <c r="K23" s="988"/>
      <c r="M23" s="144"/>
      <c r="P23" s="153"/>
    </row>
    <row r="24" spans="2:16" ht="16" thickBot="1" x14ac:dyDescent="0.45">
      <c r="B24" s="446"/>
      <c r="C24" s="444"/>
      <c r="D24" s="444"/>
      <c r="E24" s="444"/>
      <c r="F24" s="971"/>
      <c r="G24" s="971"/>
      <c r="H24" s="971"/>
      <c r="I24" s="971"/>
      <c r="J24" s="971"/>
      <c r="K24" s="989"/>
      <c r="M24" s="144"/>
      <c r="P24" s="153"/>
    </row>
    <row r="25" spans="2:16" ht="68.25" customHeight="1" x14ac:dyDescent="0.4">
      <c r="B25" s="1429" t="s">
        <v>405</v>
      </c>
      <c r="C25" s="1430"/>
      <c r="D25" s="1430"/>
      <c r="E25" s="1430"/>
      <c r="F25" s="1430"/>
      <c r="G25" s="1430"/>
      <c r="H25" s="1430"/>
      <c r="I25" s="1430"/>
      <c r="J25" s="1430"/>
      <c r="K25" s="1431"/>
      <c r="M25" s="144"/>
      <c r="N25" s="153"/>
      <c r="O25" s="153"/>
      <c r="P25" s="153"/>
    </row>
    <row r="26" spans="2:16" x14ac:dyDescent="0.4">
      <c r="B26" s="440" t="s">
        <v>52</v>
      </c>
      <c r="C26" s="441" t="s">
        <v>34</v>
      </c>
      <c r="D26" s="442" t="s">
        <v>35</v>
      </c>
      <c r="E26" s="442" t="s">
        <v>33</v>
      </c>
      <c r="F26" s="971"/>
      <c r="G26" s="971"/>
      <c r="H26" s="971"/>
      <c r="I26" s="971"/>
      <c r="J26" s="971"/>
      <c r="K26" s="989"/>
      <c r="M26" s="144"/>
      <c r="N26" s="153"/>
      <c r="O26" s="153"/>
      <c r="P26" s="153"/>
    </row>
    <row r="27" spans="2:16" ht="16.5" x14ac:dyDescent="0.4">
      <c r="B27" s="470" t="s">
        <v>256</v>
      </c>
      <c r="C27" s="288"/>
      <c r="D27" s="271" t="s">
        <v>57</v>
      </c>
      <c r="E27" s="975" t="s">
        <v>711</v>
      </c>
      <c r="F27" s="971"/>
      <c r="G27" s="971"/>
      <c r="H27" s="971"/>
      <c r="I27" s="971"/>
      <c r="J27" s="971"/>
      <c r="K27" s="989"/>
      <c r="M27" s="144"/>
      <c r="N27" s="153"/>
      <c r="O27" s="153"/>
      <c r="P27" s="153"/>
    </row>
    <row r="28" spans="2:16" ht="17" thickBot="1" x14ac:dyDescent="0.45">
      <c r="B28" s="275" t="s">
        <v>257</v>
      </c>
      <c r="C28" s="121"/>
      <c r="D28" s="276" t="s">
        <v>36</v>
      </c>
      <c r="E28" s="1038" t="s">
        <v>712</v>
      </c>
      <c r="F28" s="1063"/>
      <c r="G28" s="1063"/>
      <c r="H28" s="1063"/>
      <c r="I28" s="1063"/>
      <c r="J28" s="1063"/>
      <c r="K28" s="988"/>
      <c r="M28" s="144"/>
      <c r="N28" s="472"/>
      <c r="O28" s="153"/>
      <c r="P28" s="153"/>
    </row>
    <row r="29" spans="2:16" ht="16" thickBot="1" x14ac:dyDescent="0.45">
      <c r="B29" s="448"/>
      <c r="C29" s="449"/>
      <c r="D29" s="449"/>
      <c r="E29" s="969"/>
      <c r="F29" s="971"/>
      <c r="G29" s="971"/>
      <c r="H29" s="971"/>
      <c r="I29" s="971"/>
      <c r="J29" s="971"/>
      <c r="K29" s="989"/>
      <c r="M29" s="144"/>
      <c r="N29" s="153"/>
      <c r="O29" s="153"/>
      <c r="P29" s="153"/>
    </row>
    <row r="30" spans="2:16" ht="153" customHeight="1" x14ac:dyDescent="0.4">
      <c r="B30" s="1429" t="s">
        <v>889</v>
      </c>
      <c r="C30" s="1430"/>
      <c r="D30" s="1430"/>
      <c r="E30" s="1430"/>
      <c r="F30" s="1430"/>
      <c r="G30" s="1430"/>
      <c r="H30" s="1430"/>
      <c r="I30" s="1430"/>
      <c r="J30" s="1430"/>
      <c r="K30" s="1431"/>
      <c r="M30" s="144"/>
      <c r="N30" s="153"/>
      <c r="O30" s="153"/>
      <c r="P30" s="153"/>
    </row>
    <row r="31" spans="2:16" x14ac:dyDescent="0.4">
      <c r="B31" s="803"/>
      <c r="C31" s="801"/>
      <c r="D31" s="801"/>
      <c r="E31" s="801"/>
      <c r="F31" s="971"/>
      <c r="G31" s="971"/>
      <c r="H31" s="971"/>
      <c r="I31" s="971"/>
      <c r="J31" s="971"/>
      <c r="K31" s="989"/>
      <c r="M31" s="144"/>
      <c r="N31" s="153"/>
      <c r="O31" s="153"/>
      <c r="P31" s="153"/>
    </row>
    <row r="32" spans="2:16" ht="34.5" customHeight="1" x14ac:dyDescent="0.4">
      <c r="B32" s="1461" t="s">
        <v>949</v>
      </c>
      <c r="C32" s="1462"/>
      <c r="D32" s="1462"/>
      <c r="E32" s="1462"/>
      <c r="F32" s="1462"/>
      <c r="G32" s="1462"/>
      <c r="H32" s="1462"/>
      <c r="I32" s="1462"/>
      <c r="J32" s="1462"/>
      <c r="K32" s="1463"/>
      <c r="M32" s="144"/>
      <c r="N32" s="153"/>
      <c r="O32" s="153"/>
      <c r="P32" s="153"/>
    </row>
    <row r="33" spans="2:16" x14ac:dyDescent="0.4">
      <c r="B33" s="803"/>
      <c r="C33" s="801"/>
      <c r="D33" s="801"/>
      <c r="E33" s="801"/>
      <c r="F33" s="971"/>
      <c r="G33" s="971"/>
      <c r="H33" s="971"/>
      <c r="I33" s="971"/>
      <c r="J33" s="971"/>
      <c r="K33" s="989"/>
      <c r="M33" s="144"/>
      <c r="N33" s="153"/>
      <c r="O33" s="153"/>
      <c r="P33" s="153"/>
    </row>
    <row r="34" spans="2:16" x14ac:dyDescent="0.4">
      <c r="B34" s="1444" t="str">
        <f>"Non-Condensing Hot Water Boilers" &amp; IF(OR('General Info &amp; Test Results'!$C$37="Electricity",'General Info &amp; Test Results'!$C$49="Non-Condensing"),""," - NOT REQUIRED FOR THIS TEST")</f>
        <v>Non-Condensing Hot Water Boilers - NOT REQUIRED FOR THIS TEST</v>
      </c>
      <c r="C34" s="1445"/>
      <c r="D34" s="1445"/>
      <c r="E34" s="1446"/>
      <c r="F34" s="1112"/>
      <c r="G34" s="1112"/>
      <c r="H34" s="990"/>
      <c r="I34" s="971"/>
      <c r="J34" s="971"/>
      <c r="K34" s="989"/>
      <c r="M34" s="144"/>
      <c r="N34" s="153"/>
      <c r="O34" s="153"/>
      <c r="P34" s="153"/>
    </row>
    <row r="35" spans="2:16" x14ac:dyDescent="0.4">
      <c r="B35" s="1418" t="s">
        <v>52</v>
      </c>
      <c r="C35" s="1420" t="s">
        <v>943</v>
      </c>
      <c r="D35" s="1421"/>
      <c r="E35" s="1361" t="s">
        <v>892</v>
      </c>
      <c r="F35" s="1361"/>
      <c r="G35" s="1362" t="s">
        <v>35</v>
      </c>
      <c r="H35" s="1422" t="s">
        <v>891</v>
      </c>
      <c r="I35" s="971"/>
      <c r="J35" s="971"/>
      <c r="K35" s="989"/>
      <c r="M35" s="144"/>
      <c r="N35" s="153"/>
      <c r="O35" s="153"/>
      <c r="P35" s="153"/>
    </row>
    <row r="36" spans="2:16" x14ac:dyDescent="0.4">
      <c r="B36" s="1419"/>
      <c r="C36" s="800" t="s">
        <v>269</v>
      </c>
      <c r="D36" s="800" t="s">
        <v>270</v>
      </c>
      <c r="E36" s="1019" t="s">
        <v>269</v>
      </c>
      <c r="F36" s="1019" t="s">
        <v>270</v>
      </c>
      <c r="G36" s="1362"/>
      <c r="H36" s="1422"/>
      <c r="I36" s="971"/>
      <c r="J36" s="971"/>
      <c r="K36" s="989"/>
      <c r="M36" s="144"/>
      <c r="N36" s="153"/>
      <c r="O36" s="153"/>
      <c r="P36" s="153"/>
    </row>
    <row r="37" spans="2:16" x14ac:dyDescent="0.4">
      <c r="B37" s="802" t="s">
        <v>890</v>
      </c>
      <c r="C37" s="1048" t="str">
        <f>IF('General Info &amp; Test Results'!$C$49&lt;&gt;"Non-Condensing","N/A",MIN($H$79:$H$81))</f>
        <v>N/A</v>
      </c>
      <c r="D37" s="1048" t="str">
        <f>IF('General Info &amp; Test Results'!$C$49&lt;&gt;"Non-Condensing","N/A",MAX($H$79:$H$81))</f>
        <v>N/A</v>
      </c>
      <c r="E37" s="122" t="str">
        <f>IF('General Info &amp; Test Results'!$C$49&lt;&gt;"Non-Condensing","N/A",120)</f>
        <v>N/A</v>
      </c>
      <c r="F37" s="122" t="str">
        <f>IF('General Info &amp; Test Results'!$C$49&lt;&gt;"Non-Condensing","N/A",124)</f>
        <v>N/A</v>
      </c>
      <c r="G37" s="970" t="s">
        <v>51</v>
      </c>
      <c r="H37" s="471" t="str">
        <f>IF('General Info &amp; Test Results'!$C$49&lt;&gt;"Non-Condensing","N/A",IF(AND(C37&gt;=E37,D37&lt;=F37,C37&lt;=D37),"Yes","No"))</f>
        <v>N/A</v>
      </c>
      <c r="I37" s="971"/>
      <c r="J37" s="971"/>
      <c r="K37" s="989"/>
      <c r="M37" s="144"/>
      <c r="N37" s="153"/>
      <c r="O37" s="153"/>
      <c r="P37" s="153"/>
    </row>
    <row r="38" spans="2:16" x14ac:dyDescent="0.4">
      <c r="B38" s="804" t="s">
        <v>893</v>
      </c>
      <c r="C38" s="1048" t="str">
        <f>IF('General Info &amp; Test Results'!$C$49&lt;&gt;"Non-Condensing","N/A",MIN($I$79:$I$81))</f>
        <v>N/A</v>
      </c>
      <c r="D38" s="1048" t="str">
        <f>IF('General Info &amp; Test Results'!$C$49&lt;&gt;"Non-Condensing","N/A",MAX($I$79:$I$81))</f>
        <v>N/A</v>
      </c>
      <c r="E38" s="122" t="str">
        <f>IF('General Info &amp; Test Results'!$C$49&lt;&gt;"Non-Condensing","N/A",19)</f>
        <v>N/A</v>
      </c>
      <c r="F38" s="122" t="str">
        <f>IF('General Info &amp; Test Results'!$C$49&lt;&gt;"Non-Condensing","N/A",24)</f>
        <v>N/A</v>
      </c>
      <c r="G38" s="1059" t="s">
        <v>51</v>
      </c>
      <c r="H38" s="471" t="str">
        <f>IF('General Info &amp; Test Results'!$C$49&lt;&gt;"Non-Condensing","N/A",IF(AND(C38&gt;=E38,D38&lt;=F38,C38&lt;=D38),"Yes","No"))</f>
        <v>N/A</v>
      </c>
      <c r="I38" s="971"/>
      <c r="J38" s="971"/>
      <c r="K38" s="989"/>
      <c r="M38" s="144"/>
      <c r="N38" s="153"/>
      <c r="O38" s="153"/>
      <c r="P38" s="153"/>
    </row>
    <row r="39" spans="2:16" x14ac:dyDescent="0.4">
      <c r="B39" s="448"/>
      <c r="C39" s="449"/>
      <c r="D39" s="449"/>
      <c r="E39" s="969"/>
      <c r="F39" s="971"/>
      <c r="G39" s="971"/>
      <c r="H39" s="971"/>
      <c r="I39" s="971"/>
      <c r="J39" s="971"/>
      <c r="K39" s="989"/>
      <c r="M39" s="144"/>
      <c r="N39" s="153"/>
      <c r="O39" s="153"/>
      <c r="P39" s="153"/>
    </row>
    <row r="40" spans="2:16" x14ac:dyDescent="0.4">
      <c r="B40" s="1444" t="str">
        <f>"Condensing Hot Water Boilers" &amp; IF('General Info &amp; Test Results'!$C$49="Condensing",""," - NOT REQUIRED FOR THIS TEST")</f>
        <v>Condensing Hot Water Boilers - NOT REQUIRED FOR THIS TEST</v>
      </c>
      <c r="C40" s="1445"/>
      <c r="D40" s="1445"/>
      <c r="E40" s="1446"/>
      <c r="F40" s="1112"/>
      <c r="G40" s="1112"/>
      <c r="H40" s="990"/>
      <c r="I40" s="971"/>
      <c r="J40" s="971"/>
      <c r="K40" s="989"/>
      <c r="M40" s="144"/>
      <c r="N40" s="153"/>
      <c r="O40" s="153"/>
      <c r="P40" s="153"/>
    </row>
    <row r="41" spans="2:16" x14ac:dyDescent="0.4">
      <c r="B41" s="1418" t="s">
        <v>52</v>
      </c>
      <c r="C41" s="1420" t="s">
        <v>943</v>
      </c>
      <c r="D41" s="1421"/>
      <c r="E41" s="1361" t="s">
        <v>892</v>
      </c>
      <c r="F41" s="1361"/>
      <c r="G41" s="1362" t="s">
        <v>35</v>
      </c>
      <c r="H41" s="1422" t="s">
        <v>891</v>
      </c>
      <c r="I41" s="971"/>
      <c r="J41" s="971"/>
      <c r="K41" s="989"/>
      <c r="M41" s="144"/>
      <c r="N41" s="153"/>
      <c r="O41" s="153"/>
      <c r="P41" s="153"/>
    </row>
    <row r="42" spans="2:16" x14ac:dyDescent="0.4">
      <c r="B42" s="1419"/>
      <c r="C42" s="800" t="s">
        <v>269</v>
      </c>
      <c r="D42" s="800" t="s">
        <v>270</v>
      </c>
      <c r="E42" s="1019" t="s">
        <v>269</v>
      </c>
      <c r="F42" s="1019" t="s">
        <v>270</v>
      </c>
      <c r="G42" s="1362"/>
      <c r="H42" s="1422"/>
      <c r="I42" s="971"/>
      <c r="J42" s="971"/>
      <c r="K42" s="989"/>
      <c r="M42" s="144"/>
      <c r="N42" s="153"/>
      <c r="O42" s="153"/>
      <c r="P42" s="153"/>
    </row>
    <row r="43" spans="2:16" x14ac:dyDescent="0.4">
      <c r="B43" s="802" t="s">
        <v>894</v>
      </c>
      <c r="C43" s="111"/>
      <c r="D43" s="111"/>
      <c r="E43" s="122" t="str">
        <f>IF('General Info &amp; Test Results'!$C$49&lt;&gt;"Condensing","",120-10)</f>
        <v/>
      </c>
      <c r="F43" s="122" t="str">
        <f>IF('General Info &amp; Test Results'!$C$49&lt;&gt;"Condensing","",120+10)</f>
        <v/>
      </c>
      <c r="G43" s="970" t="s">
        <v>51</v>
      </c>
      <c r="H43" s="471" t="str">
        <f>IF('General Info &amp; Test Results'!$C$49&lt;&gt;"Condensing","N/A",IF(AND(C43&gt;=E43,D43&lt;=F43,C43&lt;=D43),"Yes","No"))</f>
        <v>N/A</v>
      </c>
      <c r="I43" s="971"/>
      <c r="J43" s="971"/>
      <c r="K43" s="989"/>
      <c r="M43" s="144"/>
      <c r="N43" s="153"/>
      <c r="O43" s="153"/>
      <c r="P43" s="153"/>
    </row>
    <row r="44" spans="2:16" x14ac:dyDescent="0.4">
      <c r="B44" s="806" t="s">
        <v>895</v>
      </c>
      <c r="C44" s="111"/>
      <c r="D44" s="111"/>
      <c r="E44" s="122" t="str">
        <f>IF('General Info &amp; Test Results'!$C$49&lt;&gt;"Condensing","",120-5)</f>
        <v/>
      </c>
      <c r="F44" s="122" t="str">
        <f>IF('General Info &amp; Test Results'!$C$49&lt;&gt;"Condensing","",120+5)</f>
        <v/>
      </c>
      <c r="G44" s="970" t="s">
        <v>51</v>
      </c>
      <c r="H44" s="471" t="str">
        <f>IF('General Info &amp; Test Results'!$C$49&lt;&gt;"Condensing","N/A",IF(AND(C44&gt;=E44,D44&lt;=F44,C44&lt;=D44),"Yes","No"))</f>
        <v>N/A</v>
      </c>
      <c r="I44" s="971"/>
      <c r="J44" s="971"/>
      <c r="K44" s="989"/>
      <c r="M44" s="144"/>
      <c r="N44" s="153"/>
      <c r="O44" s="153"/>
      <c r="P44" s="153"/>
    </row>
    <row r="45" spans="2:16" x14ac:dyDescent="0.4">
      <c r="B45" s="805" t="s">
        <v>896</v>
      </c>
      <c r="C45" s="111"/>
      <c r="D45" s="111"/>
      <c r="E45" s="122" t="str">
        <f>IF('General Info &amp; Test Results'!$C$49&lt;&gt;"Condensing","",120-2)</f>
        <v/>
      </c>
      <c r="F45" s="122" t="str">
        <f>IF('General Info &amp; Test Results'!$C$49&lt;&gt;"Condensing","",120+2)</f>
        <v/>
      </c>
      <c r="G45" s="970" t="s">
        <v>51</v>
      </c>
      <c r="H45" s="471" t="str">
        <f>IF('General Info &amp; Test Results'!$C$49&lt;&gt;"Condensing","N/A",IF(AND(C45&gt;=E45,D45&lt;=F45,C45&lt;=D45),"Yes","No"))</f>
        <v>N/A</v>
      </c>
      <c r="I45" s="971"/>
      <c r="J45" s="971"/>
      <c r="K45" s="989"/>
      <c r="M45" s="144"/>
      <c r="N45" s="153"/>
      <c r="O45" s="153"/>
      <c r="P45" s="153"/>
    </row>
    <row r="46" spans="2:16" x14ac:dyDescent="0.4">
      <c r="B46" s="804" t="s">
        <v>893</v>
      </c>
      <c r="C46" s="1020" t="str">
        <f>IF('General Info &amp; Test Results'!$C$49&lt;&gt;"Condensing","N/A",MIN($I$79:$I$81))</f>
        <v>N/A</v>
      </c>
      <c r="D46" s="1020" t="str">
        <f>IF('General Info &amp; Test Results'!$C$49&lt;&gt;"Condensing","N/A",MAX($I$79:$I$81))</f>
        <v>N/A</v>
      </c>
      <c r="E46" s="122" t="str">
        <f>IF('General Info &amp; Test Results'!$C$49&lt;&gt;"Condensing","N/A",19.5)</f>
        <v>N/A</v>
      </c>
      <c r="F46" s="122" t="str">
        <f>IF('General Info &amp; Test Results'!$C$49&lt;&gt;"Condensing","N/A",20.5)</f>
        <v>N/A</v>
      </c>
      <c r="G46" s="1059" t="s">
        <v>51</v>
      </c>
      <c r="H46" s="471" t="str">
        <f>IF('General Info &amp; Test Results'!$C$49&lt;&gt;"Condensing","N/A",IF(AND(C46&gt;=E46,D46&lt;=F46,C46&lt;=D46),"Yes","No"))</f>
        <v>N/A</v>
      </c>
      <c r="I46" s="971"/>
      <c r="J46" s="971"/>
      <c r="K46" s="989"/>
      <c r="M46" s="144"/>
      <c r="N46" s="153"/>
      <c r="O46" s="153"/>
      <c r="P46" s="153"/>
    </row>
    <row r="47" spans="2:16" x14ac:dyDescent="0.4">
      <c r="B47" s="448"/>
      <c r="C47" s="449"/>
      <c r="D47" s="449"/>
      <c r="E47" s="969"/>
      <c r="F47" s="971"/>
      <c r="G47" s="971"/>
      <c r="H47" s="971"/>
      <c r="I47" s="971"/>
      <c r="J47" s="971"/>
      <c r="K47" s="989"/>
      <c r="M47" s="144"/>
      <c r="N47" s="153"/>
      <c r="O47" s="153"/>
      <c r="P47" s="153"/>
    </row>
    <row r="48" spans="2:16" x14ac:dyDescent="0.4">
      <c r="B48" s="1444" t="str">
        <f>"Steam Boilers" &amp; IF('General Info &amp; Test Results'!$C$38="Steam",""," - NOT REQUIRED FOR THIS TEST")</f>
        <v>Steam Boilers - NOT REQUIRED FOR THIS TEST</v>
      </c>
      <c r="C48" s="1445"/>
      <c r="D48" s="1445"/>
      <c r="E48" s="1446"/>
      <c r="F48" s="1112"/>
      <c r="G48" s="1112"/>
      <c r="H48" s="990"/>
      <c r="I48" s="971"/>
      <c r="J48" s="971"/>
      <c r="K48" s="989"/>
      <c r="M48" s="144"/>
      <c r="N48" s="153"/>
      <c r="O48" s="153"/>
      <c r="P48" s="153"/>
    </row>
    <row r="49" spans="2:16" x14ac:dyDescent="0.4">
      <c r="B49" s="1418" t="s">
        <v>52</v>
      </c>
      <c r="C49" s="1420" t="s">
        <v>943</v>
      </c>
      <c r="D49" s="1421"/>
      <c r="E49" s="1361" t="s">
        <v>892</v>
      </c>
      <c r="F49" s="1361"/>
      <c r="G49" s="1362" t="s">
        <v>35</v>
      </c>
      <c r="H49" s="1422" t="s">
        <v>891</v>
      </c>
      <c r="I49" s="971"/>
      <c r="J49" s="971"/>
      <c r="K49" s="989"/>
      <c r="M49" s="144"/>
      <c r="N49" s="153"/>
      <c r="O49" s="153"/>
      <c r="P49" s="153"/>
    </row>
    <row r="50" spans="2:16" x14ac:dyDescent="0.4">
      <c r="B50" s="1419"/>
      <c r="C50" s="800" t="s">
        <v>269</v>
      </c>
      <c r="D50" s="800" t="s">
        <v>270</v>
      </c>
      <c r="E50" s="1019" t="s">
        <v>269</v>
      </c>
      <c r="F50" s="1019" t="s">
        <v>270</v>
      </c>
      <c r="G50" s="1362"/>
      <c r="H50" s="1422"/>
      <c r="I50" s="971"/>
      <c r="J50" s="971"/>
      <c r="K50" s="989"/>
      <c r="M50" s="144"/>
      <c r="N50" s="153"/>
      <c r="O50" s="153"/>
      <c r="P50" s="153"/>
    </row>
    <row r="51" spans="2:16" ht="16" thickBot="1" x14ac:dyDescent="0.45">
      <c r="B51" s="1111" t="s">
        <v>775</v>
      </c>
      <c r="C51" s="121"/>
      <c r="D51" s="121"/>
      <c r="E51" s="123" t="str">
        <f>IF('General Info &amp; Test Results'!$C$38&lt;&gt;"Steam","",0)</f>
        <v/>
      </c>
      <c r="F51" s="123" t="str">
        <f>IF('General Info &amp; Test Results'!$C$38&lt;&gt;"Steam","",2)</f>
        <v/>
      </c>
      <c r="G51" s="1064" t="s">
        <v>897</v>
      </c>
      <c r="H51" s="825" t="str">
        <f>IF('General Info &amp; Test Results'!$C$38&lt;&gt;"Steam","N/A",IF(AND(C51&gt;=E51,D51&lt;=F51,C51&lt;=D51),"Yes","No"))</f>
        <v>N/A</v>
      </c>
      <c r="I51" s="1063"/>
      <c r="J51" s="1063"/>
      <c r="K51" s="988"/>
      <c r="M51" s="144"/>
      <c r="N51" s="153"/>
      <c r="O51" s="153"/>
      <c r="P51" s="153"/>
    </row>
    <row r="52" spans="2:16" ht="16" thickBot="1" x14ac:dyDescent="0.45">
      <c r="B52" s="448"/>
      <c r="C52" s="449"/>
      <c r="D52" s="449"/>
      <c r="E52" s="969"/>
      <c r="F52" s="971"/>
      <c r="G52" s="971"/>
      <c r="H52" s="971"/>
      <c r="I52" s="971"/>
      <c r="J52" s="971"/>
      <c r="K52" s="989"/>
      <c r="M52" s="144"/>
      <c r="N52" s="153"/>
      <c r="O52" s="153"/>
      <c r="P52" s="153"/>
    </row>
    <row r="53" spans="2:16" ht="17.5" x14ac:dyDescent="0.4">
      <c r="B53" s="1491" t="s">
        <v>946</v>
      </c>
      <c r="C53" s="1492"/>
      <c r="D53" s="1492"/>
      <c r="E53" s="1492"/>
      <c r="F53" s="1492"/>
      <c r="G53" s="1492"/>
      <c r="H53" s="1492"/>
      <c r="I53" s="1492"/>
      <c r="J53" s="1492"/>
      <c r="K53" s="1493"/>
      <c r="M53" s="144"/>
      <c r="N53" s="153"/>
      <c r="O53" s="153"/>
      <c r="P53" s="153"/>
    </row>
    <row r="54" spans="2:16" ht="68.25" customHeight="1" x14ac:dyDescent="0.4">
      <c r="B54" s="1447" t="s">
        <v>947</v>
      </c>
      <c r="C54" s="1494"/>
      <c r="D54" s="1494"/>
      <c r="E54" s="1494"/>
      <c r="F54" s="1494"/>
      <c r="G54" s="1494"/>
      <c r="H54" s="1494"/>
      <c r="I54" s="1494"/>
      <c r="J54" s="1494"/>
      <c r="K54" s="1449"/>
      <c r="M54" s="144"/>
      <c r="N54" s="153"/>
      <c r="O54" s="153"/>
      <c r="P54" s="153"/>
    </row>
    <row r="55" spans="2:16" ht="51.75" customHeight="1" x14ac:dyDescent="0.4">
      <c r="B55" s="1453" t="s">
        <v>948</v>
      </c>
      <c r="C55" s="1495"/>
      <c r="D55" s="1495"/>
      <c r="E55" s="1495"/>
      <c r="F55" s="1495"/>
      <c r="G55" s="1495"/>
      <c r="H55" s="1495"/>
      <c r="I55" s="1495"/>
      <c r="J55" s="1495"/>
      <c r="K55" s="1455"/>
      <c r="M55" s="144"/>
      <c r="N55" s="153"/>
      <c r="O55" s="153"/>
      <c r="P55" s="153"/>
    </row>
    <row r="56" spans="2:16" x14ac:dyDescent="0.4">
      <c r="B56" s="1119"/>
      <c r="C56" s="1227"/>
      <c r="D56" s="1227"/>
      <c r="E56" s="1228"/>
      <c r="F56" s="1229"/>
      <c r="G56" s="1229"/>
      <c r="H56" s="1229"/>
      <c r="I56" s="1229"/>
      <c r="J56" s="1229"/>
      <c r="K56" s="1120"/>
      <c r="M56" s="144"/>
      <c r="N56" s="153"/>
      <c r="O56" s="153"/>
      <c r="P56" s="153"/>
    </row>
    <row r="57" spans="2:16" x14ac:dyDescent="0.4">
      <c r="B57" s="1496" t="s">
        <v>954</v>
      </c>
      <c r="C57" s="1497"/>
      <c r="D57" s="1497"/>
      <c r="E57" s="1497"/>
      <c r="F57" s="1497"/>
      <c r="G57" s="1497"/>
      <c r="H57" s="1497"/>
      <c r="I57" s="1497"/>
      <c r="J57" s="971"/>
      <c r="K57" s="989"/>
      <c r="M57" s="144"/>
      <c r="N57" s="153"/>
      <c r="O57" s="153"/>
      <c r="P57" s="153"/>
    </row>
    <row r="58" spans="2:16" ht="121.5" customHeight="1" x14ac:dyDescent="0.4">
      <c r="B58" s="1447" t="s">
        <v>955</v>
      </c>
      <c r="C58" s="1494"/>
      <c r="D58" s="1494"/>
      <c r="E58" s="1494"/>
      <c r="F58" s="1494"/>
      <c r="G58" s="1494"/>
      <c r="H58" s="1494"/>
      <c r="I58" s="1494"/>
      <c r="J58" s="1494"/>
      <c r="K58" s="1449"/>
      <c r="M58" s="144"/>
      <c r="N58" s="153"/>
      <c r="O58" s="153"/>
      <c r="P58" s="153"/>
    </row>
    <row r="59" spans="2:16" x14ac:dyDescent="0.4">
      <c r="B59" s="1473" t="s">
        <v>956</v>
      </c>
      <c r="C59" s="1498"/>
      <c r="D59" s="1498"/>
      <c r="E59" s="1498"/>
      <c r="F59" s="1498"/>
      <c r="G59" s="1498"/>
      <c r="H59" s="1498"/>
      <c r="I59" s="1498"/>
      <c r="J59" s="1498"/>
      <c r="K59" s="1475"/>
      <c r="M59" s="144"/>
      <c r="N59" s="153"/>
      <c r="O59" s="153"/>
      <c r="P59" s="153"/>
    </row>
    <row r="60" spans="2:16" x14ac:dyDescent="0.4">
      <c r="B60" s="1473" t="s">
        <v>950</v>
      </c>
      <c r="C60" s="1498"/>
      <c r="D60" s="1498"/>
      <c r="E60" s="1498"/>
      <c r="F60" s="1498"/>
      <c r="G60" s="1498"/>
      <c r="H60" s="1498"/>
      <c r="I60" s="1498"/>
      <c r="J60" s="1498"/>
      <c r="K60" s="1475"/>
      <c r="M60" s="144"/>
      <c r="N60" s="153"/>
      <c r="O60" s="153"/>
      <c r="P60" s="153"/>
    </row>
    <row r="61" spans="2:16" ht="100.5" customHeight="1" x14ac:dyDescent="0.4">
      <c r="B61" s="1447" t="s">
        <v>951</v>
      </c>
      <c r="C61" s="1494"/>
      <c r="D61" s="1494"/>
      <c r="E61" s="1494"/>
      <c r="F61" s="1494"/>
      <c r="G61" s="1494"/>
      <c r="H61" s="1494"/>
      <c r="I61" s="1494"/>
      <c r="J61" s="1494"/>
      <c r="K61" s="1449"/>
      <c r="M61" s="144"/>
      <c r="N61" s="153"/>
      <c r="O61" s="153"/>
      <c r="P61" s="153"/>
    </row>
    <row r="62" spans="2:16" ht="103.5" customHeight="1" x14ac:dyDescent="0.4">
      <c r="B62" s="1447" t="s">
        <v>952</v>
      </c>
      <c r="C62" s="1494"/>
      <c r="D62" s="1494"/>
      <c r="E62" s="1494"/>
      <c r="F62" s="1494"/>
      <c r="G62" s="1494"/>
      <c r="H62" s="1494"/>
      <c r="I62" s="1494"/>
      <c r="J62" s="1494"/>
      <c r="K62" s="1449"/>
      <c r="M62" s="144"/>
      <c r="N62" s="153"/>
      <c r="O62" s="153"/>
      <c r="P62" s="153"/>
    </row>
    <row r="63" spans="2:16" ht="33.75" customHeight="1" x14ac:dyDescent="0.4">
      <c r="B63" s="1447" t="s">
        <v>953</v>
      </c>
      <c r="C63" s="1494"/>
      <c r="D63" s="1494"/>
      <c r="E63" s="1494"/>
      <c r="F63" s="1494"/>
      <c r="G63" s="1494"/>
      <c r="H63" s="1494"/>
      <c r="I63" s="1494"/>
      <c r="J63" s="1494"/>
      <c r="K63" s="1449"/>
      <c r="M63" s="144"/>
      <c r="N63" s="153"/>
      <c r="O63" s="153"/>
      <c r="P63" s="153"/>
    </row>
    <row r="64" spans="2:16" x14ac:dyDescent="0.4">
      <c r="B64" s="448"/>
      <c r="C64" s="449"/>
      <c r="D64" s="449"/>
      <c r="E64" s="969"/>
      <c r="F64" s="971"/>
      <c r="G64" s="971"/>
      <c r="H64" s="971"/>
      <c r="I64" s="971"/>
      <c r="J64" s="971"/>
      <c r="K64" s="989"/>
      <c r="M64" s="144"/>
      <c r="N64" s="153"/>
      <c r="O64" s="153"/>
      <c r="P64" s="153"/>
    </row>
    <row r="65" spans="2:16" x14ac:dyDescent="0.4">
      <c r="B65" s="1225" t="s">
        <v>52</v>
      </c>
      <c r="C65" s="1224" t="s">
        <v>34</v>
      </c>
      <c r="D65" s="1226" t="s">
        <v>35</v>
      </c>
      <c r="E65" s="1226" t="s">
        <v>33</v>
      </c>
      <c r="F65" s="971"/>
      <c r="G65" s="971"/>
      <c r="H65" s="971"/>
      <c r="I65" s="971"/>
      <c r="J65" s="971"/>
      <c r="K65" s="989"/>
      <c r="M65" s="144"/>
      <c r="N65" s="153"/>
      <c r="O65" s="153"/>
      <c r="P65" s="153"/>
    </row>
    <row r="66" spans="2:16" ht="16.5" x14ac:dyDescent="0.4">
      <c r="B66" s="470" t="s">
        <v>53</v>
      </c>
      <c r="C66" s="122" t="str">
        <f>IFERROR(AVERAGE($C$79:$C$81),"")</f>
        <v/>
      </c>
      <c r="D66" s="439" t="s">
        <v>51</v>
      </c>
      <c r="E66" s="974" t="s">
        <v>504</v>
      </c>
      <c r="F66" s="971"/>
      <c r="G66" s="971"/>
      <c r="H66" s="971"/>
      <c r="I66" s="971"/>
      <c r="J66" s="971"/>
      <c r="K66" s="989"/>
      <c r="M66" s="144"/>
      <c r="N66" s="153"/>
      <c r="O66" s="153"/>
      <c r="P66" s="153"/>
    </row>
    <row r="67" spans="2:16" ht="16.5" x14ac:dyDescent="0.4">
      <c r="B67" s="260" t="str">
        <f>IF(OR('General Info &amp; Test Results'!C43="Draft Hood",'General Info &amp; Test Results'!C43="Direct Exhaust",'General Info &amp; Test Results'!C43="Barometric Draft Control",
'General Info &amp; Test Results'!C48="Yes. With Heat Exchange.",'General Info &amp; Test Results'!C48="Yes. Without Heat Exchange."),
"Steady-State Flue Gas Temperature","N/A")</f>
        <v>N/A</v>
      </c>
      <c r="C67" s="122" t="str">
        <f>IFERROR(AVERAGE($E$79:$E$81),"")</f>
        <v/>
      </c>
      <c r="D67" s="272" t="s">
        <v>51</v>
      </c>
      <c r="E67" s="975" t="s">
        <v>507</v>
      </c>
      <c r="F67" s="971"/>
      <c r="G67" s="971"/>
      <c r="H67" s="971"/>
      <c r="I67" s="971"/>
      <c r="J67" s="971"/>
      <c r="K67" s="989"/>
      <c r="M67" s="144"/>
      <c r="N67" s="153"/>
      <c r="O67" s="153"/>
      <c r="P67" s="153"/>
    </row>
    <row r="68" spans="2:16" ht="16.5" x14ac:dyDescent="0.4">
      <c r="B68" s="437" t="str">
        <f>IF(OR('General Info &amp; Test Results'!C43="Draft Hood",'General Info &amp; Test Results'!C43="Direct Exhaust",'General Info &amp; Test Results'!C43="Barometric Draft Control",
'General Info &amp; Test Results'!C48="Yes. With Heat Exchange.",'General Info &amp; Test Results'!C48="Yes. Without Heat Exchange."),
"Flue Gas Concentration by Volume of CO2","N/A")</f>
        <v>N/A</v>
      </c>
      <c r="C68" s="122" t="str">
        <f>IFERROR(AVERAGE($J$79:$J$81),"")</f>
        <v/>
      </c>
      <c r="D68" s="443" t="s">
        <v>218</v>
      </c>
      <c r="E68" s="976" t="s">
        <v>514</v>
      </c>
      <c r="F68" s="971"/>
      <c r="G68" s="971"/>
      <c r="H68" s="971"/>
      <c r="I68" s="971"/>
      <c r="J68" s="971"/>
      <c r="K68" s="989"/>
      <c r="M68" s="144"/>
      <c r="N68" s="153"/>
      <c r="O68" s="153"/>
      <c r="P68" s="153"/>
    </row>
    <row r="69" spans="2:16" ht="16.5" x14ac:dyDescent="0.4">
      <c r="B69" s="470" t="str">
        <f>IF(OR('General Info &amp; Test Results'!C43="Integral Draft Diverter"),
"Steady-State Stack Gas Temperature","N/A")</f>
        <v>N/A</v>
      </c>
      <c r="C69" s="122" t="str">
        <f>IFERROR(AVERAGE($F$79:$F$81),"")</f>
        <v/>
      </c>
      <c r="D69" s="272" t="s">
        <v>51</v>
      </c>
      <c r="E69" s="975" t="s">
        <v>505</v>
      </c>
      <c r="F69" s="971"/>
      <c r="G69" s="971"/>
      <c r="H69" s="971"/>
      <c r="I69" s="971"/>
      <c r="J69" s="971"/>
      <c r="K69" s="989"/>
      <c r="M69" s="144"/>
      <c r="N69" s="153"/>
      <c r="O69" s="153"/>
      <c r="P69" s="153"/>
    </row>
    <row r="70" spans="2:16" ht="16.5" x14ac:dyDescent="0.4">
      <c r="B70" s="475" t="str">
        <f>IF(OR('General Info &amp; Test Results'!C43="Draft Hood"),
"Stack Gas Concentration by Volume of CO2","N/A")</f>
        <v>N/A</v>
      </c>
      <c r="C70" s="122" t="str">
        <f>IFERROR(AVERAGE($K$79:$K$81),"")</f>
        <v/>
      </c>
      <c r="D70" s="474" t="s">
        <v>218</v>
      </c>
      <c r="E70" s="977" t="s">
        <v>515</v>
      </c>
      <c r="F70" s="971"/>
      <c r="G70" s="971"/>
      <c r="H70" s="971"/>
      <c r="I70" s="971"/>
      <c r="J70" s="971"/>
      <c r="K70" s="989"/>
      <c r="M70" s="144"/>
      <c r="N70" s="153"/>
      <c r="O70" s="153"/>
      <c r="P70" s="153"/>
    </row>
    <row r="71" spans="2:16" x14ac:dyDescent="0.4">
      <c r="B71" s="448"/>
      <c r="C71" s="1024"/>
      <c r="D71" s="1024"/>
      <c r="E71" s="1024"/>
      <c r="F71" s="1116"/>
      <c r="G71" s="1116"/>
      <c r="H71" s="971"/>
      <c r="I71" s="971"/>
      <c r="J71" s="971"/>
      <c r="K71" s="989"/>
      <c r="M71" s="144"/>
      <c r="N71" s="153"/>
      <c r="O71" s="153"/>
      <c r="P71" s="153"/>
    </row>
    <row r="72" spans="2:16" x14ac:dyDescent="0.4">
      <c r="B72" s="1043"/>
      <c r="C72" s="1026" t="s">
        <v>958</v>
      </c>
      <c r="D72" s="1230"/>
      <c r="E72" s="1230"/>
      <c r="F72" s="1230"/>
      <c r="G72" s="990"/>
      <c r="H72" s="971"/>
      <c r="I72" s="971"/>
      <c r="J72" s="971"/>
      <c r="K72" s="989"/>
      <c r="M72" s="144"/>
      <c r="N72" s="153"/>
      <c r="O72" s="153"/>
      <c r="P72" s="153"/>
    </row>
    <row r="73" spans="2:16" x14ac:dyDescent="0.4">
      <c r="B73" s="1113" t="s">
        <v>957</v>
      </c>
      <c r="C73" s="1117"/>
      <c r="D73" s="1028" t="str">
        <f>IF('General Info &amp; Test Results'!$C$49="","",5)</f>
        <v/>
      </c>
      <c r="E73" s="1028" t="str">
        <f>IF(OR('General Info &amp; Test Results'!$C$43="",'General Info &amp; Test Results'!$C$49=""),"",
IF('General Info &amp; Test Results'!$C$49="Condensing",1,
IF(OR('General Info &amp; Test Results'!$C$43="Direct Exhaust",'General Info &amp; Test Results'!$C$43="Draft Hood",'General Info &amp; Test Results'!$C$48="Yes. With Heat Exchange.",'General Info &amp; Test Results'!C48="Yes. Without Heat Exchange."),5,
"None")))</f>
        <v/>
      </c>
      <c r="F73" s="1029" t="str">
        <f>IF('General Info &amp; Test Results'!$C$43="","",IF('General Info &amp; Test Results'!$C$43="Integral Draft Diverter",3,"None"))</f>
        <v/>
      </c>
      <c r="G73" s="1029" t="str">
        <f>IF(OR('General Info &amp; Test Results'!$C$38="",'General Info &amp; Test Results'!$C$49=""),"",
IF('General Info &amp; Test Results'!$C$38="Water",IF('General Info &amp; Test Results'!$C$49="Condensing",1,4),"None"))</f>
        <v/>
      </c>
      <c r="H73" s="971"/>
      <c r="I73" s="971"/>
      <c r="J73" s="971"/>
      <c r="K73" s="989"/>
      <c r="M73" s="144"/>
      <c r="N73" s="153"/>
      <c r="O73" s="153"/>
      <c r="P73" s="153"/>
    </row>
    <row r="74" spans="2:16" x14ac:dyDescent="0.4">
      <c r="B74" s="1114" t="s">
        <v>269</v>
      </c>
      <c r="C74" s="1028" t="str">
        <f>IF('General Info &amp; Test Results'!$C$49="","",65)</f>
        <v/>
      </c>
      <c r="D74" s="1028" t="str">
        <f>IF('General Info &amp; Test Results'!$C$49="","",AVERAGE($C$79:$C$81)-D73)</f>
        <v/>
      </c>
      <c r="E74" s="1030"/>
      <c r="F74" s="1031"/>
      <c r="G74" s="1031"/>
      <c r="H74" s="971"/>
      <c r="I74" s="971"/>
      <c r="J74" s="971"/>
      <c r="K74" s="989"/>
      <c r="M74" s="144"/>
      <c r="N74" s="153"/>
      <c r="O74" s="153"/>
      <c r="P74" s="153"/>
    </row>
    <row r="75" spans="2:16" x14ac:dyDescent="0.4">
      <c r="B75" s="1114" t="s">
        <v>270</v>
      </c>
      <c r="C75" s="1028" t="str">
        <f>IF('General Info &amp; Test Results'!$C$49="","",IF('General Info &amp; Test Results'!$C$49="Condensing",85,100))</f>
        <v/>
      </c>
      <c r="D75" s="1028" t="str">
        <f>IF('General Info &amp; Test Results'!$C$49="","",AVERAGE($C$79:$C$81)+D73)</f>
        <v/>
      </c>
      <c r="E75" s="1030"/>
      <c r="F75" s="1031"/>
      <c r="G75" s="1031"/>
      <c r="H75" s="971"/>
      <c r="I75" s="971"/>
      <c r="J75" s="971"/>
      <c r="K75" s="989"/>
      <c r="M75" s="144"/>
      <c r="N75" s="153"/>
      <c r="O75" s="153"/>
      <c r="P75" s="153"/>
    </row>
    <row r="76" spans="2:16" x14ac:dyDescent="0.4">
      <c r="B76" s="1115" t="s">
        <v>395</v>
      </c>
      <c r="C76" s="471" t="str">
        <f>IF(C74="","",
IF(AND(MAX(C79:C81)&lt;=C75,MIN(C79:C81))&gt;=C74,"Yes","No")
)</f>
        <v/>
      </c>
      <c r="D76" s="471" t="str">
        <f>IF(D74="","",
IF(AND(MAX(D79:D81)&lt;=D75,MIN(D79:D81))&gt;=D74,"Yes","No")
)</f>
        <v/>
      </c>
      <c r="E76" s="471" t="str">
        <f>IF(E73="","",IF(E73="None","Yes",
IF(ABS(MAX(E79:E81)-MIN(E79:E81))&lt;=E73,"Yes","No")
))</f>
        <v/>
      </c>
      <c r="F76" s="471" t="str">
        <f t="shared" ref="F76" si="0">IF(F73="","",IF(F73="None","Yes",
IF(ABS(MAX(F79:F81)-MIN(F79:F81))&lt;=F73,"Yes","No")
))</f>
        <v/>
      </c>
      <c r="G76" s="471" t="str">
        <f>IF(G73="","",IF(G73="None","Yes",
IF(ABS(MAX(G79:G81)-MIN(G79:G81))&lt;=G73,"Yes","No")
))</f>
        <v/>
      </c>
      <c r="H76" s="971"/>
      <c r="I76" s="971"/>
      <c r="J76" s="971"/>
      <c r="K76" s="989"/>
      <c r="M76" s="144"/>
      <c r="N76" s="153"/>
      <c r="O76" s="153"/>
      <c r="P76" s="153"/>
    </row>
    <row r="77" spans="2:16" x14ac:dyDescent="0.4">
      <c r="B77" s="446"/>
      <c r="C77" s="444"/>
      <c r="D77" s="444"/>
      <c r="E77" s="444"/>
      <c r="F77" s="971"/>
      <c r="G77" s="971"/>
      <c r="H77" s="971"/>
      <c r="I77" s="971"/>
      <c r="J77" s="971"/>
      <c r="K77" s="989"/>
      <c r="M77" s="144"/>
      <c r="N77" s="153"/>
      <c r="O77" s="153"/>
      <c r="P77" s="153"/>
    </row>
    <row r="78" spans="2:16" ht="87" customHeight="1" x14ac:dyDescent="0.4">
      <c r="B78" s="480" t="s">
        <v>181</v>
      </c>
      <c r="C78" s="457" t="s">
        <v>944</v>
      </c>
      <c r="D78" s="457" t="s">
        <v>945</v>
      </c>
      <c r="E78" s="457" t="s">
        <v>56</v>
      </c>
      <c r="F78" s="457" t="s">
        <v>392</v>
      </c>
      <c r="G78" s="457" t="s">
        <v>393</v>
      </c>
      <c r="H78" s="457" t="s">
        <v>941</v>
      </c>
      <c r="I78" s="1009" t="s">
        <v>942</v>
      </c>
      <c r="J78" s="457" t="s">
        <v>959</v>
      </c>
      <c r="K78" s="991" t="s">
        <v>960</v>
      </c>
      <c r="M78" s="144"/>
      <c r="N78" s="153"/>
      <c r="O78" s="153"/>
      <c r="P78" s="153"/>
    </row>
    <row r="79" spans="2:16" x14ac:dyDescent="0.4">
      <c r="B79" s="433">
        <v>0</v>
      </c>
      <c r="C79" s="111"/>
      <c r="D79" s="111"/>
      <c r="E79" s="111"/>
      <c r="F79" s="111"/>
      <c r="G79" s="192"/>
      <c r="H79" s="192"/>
      <c r="I79" s="122" t="str">
        <f>IF(OR(H79="",G79=""),"",G79-H79)</f>
        <v/>
      </c>
      <c r="J79" s="192"/>
      <c r="K79" s="103"/>
      <c r="M79" s="144"/>
      <c r="N79" s="153"/>
      <c r="O79" s="153"/>
      <c r="P79" s="153"/>
    </row>
    <row r="80" spans="2:16" x14ac:dyDescent="0.4">
      <c r="B80" s="279">
        <v>15</v>
      </c>
      <c r="C80" s="111"/>
      <c r="D80" s="111"/>
      <c r="E80" s="111"/>
      <c r="F80" s="111"/>
      <c r="G80" s="192"/>
      <c r="H80" s="192"/>
      <c r="I80" s="122" t="str">
        <f t="shared" ref="I80:I81" si="1">IF(OR(H80="",G80=""),"",G80-H80)</f>
        <v/>
      </c>
      <c r="J80" s="192"/>
      <c r="K80" s="103"/>
      <c r="M80" s="144"/>
      <c r="N80" s="153"/>
      <c r="O80" s="153"/>
      <c r="P80" s="153"/>
    </row>
    <row r="81" spans="2:16" ht="16" thickBot="1" x14ac:dyDescent="0.45">
      <c r="B81" s="280">
        <v>30</v>
      </c>
      <c r="C81" s="121"/>
      <c r="D81" s="121"/>
      <c r="E81" s="121"/>
      <c r="F81" s="121"/>
      <c r="G81" s="1010"/>
      <c r="H81" s="1010"/>
      <c r="I81" s="123" t="str">
        <f t="shared" si="1"/>
        <v/>
      </c>
      <c r="J81" s="1010"/>
      <c r="K81" s="1231"/>
      <c r="M81" s="144"/>
      <c r="N81" s="153"/>
      <c r="O81" s="153"/>
      <c r="P81" s="153"/>
    </row>
    <row r="82" spans="2:16" ht="16" thickBot="1" x14ac:dyDescent="0.45">
      <c r="B82" s="283" t="str">
        <f>"End: Steady-State Test" &amp; IF('General Info &amp; Test Results'!$C$37="Electricity"," - NOT REQUIRED FOR THIS TEST","")</f>
        <v>End: Steady-State Test</v>
      </c>
      <c r="C82" s="284"/>
      <c r="D82" s="285"/>
      <c r="E82" s="967"/>
      <c r="F82" s="967"/>
      <c r="G82" s="967"/>
      <c r="H82" s="967"/>
      <c r="I82" s="967"/>
      <c r="J82" s="967"/>
      <c r="K82" s="286"/>
      <c r="M82" s="144"/>
      <c r="N82" s="153"/>
      <c r="O82" s="153"/>
      <c r="P82" s="153"/>
    </row>
    <row r="83" spans="2:16" x14ac:dyDescent="0.4">
      <c r="B83" s="444"/>
      <c r="C83" s="138"/>
      <c r="D83" s="138"/>
      <c r="E83" s="138"/>
      <c r="M83" s="144"/>
      <c r="N83" s="153"/>
      <c r="O83" s="153"/>
      <c r="P83" s="153"/>
    </row>
    <row r="84" spans="2:16" ht="16" thickBot="1" x14ac:dyDescent="0.45">
      <c r="B84" s="444"/>
      <c r="C84" s="138"/>
      <c r="D84" s="138"/>
      <c r="E84" s="138"/>
      <c r="M84" s="144"/>
      <c r="N84" s="153"/>
      <c r="O84" s="153"/>
      <c r="P84" s="153"/>
    </row>
    <row r="85" spans="2:16" ht="16" thickBot="1" x14ac:dyDescent="0.45">
      <c r="B85" s="1409" t="str">
        <f>"ASHRAE 103-1993, Section 9.1.3: Direct Measurement of the S/F Factors for Furnaces and Boilers with Barometric Draft Regulators" &amp; IF('General Info &amp; Test Results'!$C$44="Yes",""," - NOT REQUIRED FOR THIS TEST")</f>
        <v>ASHRAE 103-1993, Section 9.1.3: Direct Measurement of the S/F Factors for Furnaces and Boilers with Barometric Draft Regulators - NOT REQUIRED FOR THIS TEST</v>
      </c>
      <c r="C85" s="1410"/>
      <c r="D85" s="1410"/>
      <c r="E85" s="1410"/>
      <c r="F85" s="1410"/>
      <c r="G85" s="1410"/>
      <c r="H85" s="1410"/>
      <c r="I85" s="1410"/>
      <c r="J85" s="1410"/>
      <c r="K85" s="1411"/>
      <c r="M85" s="144"/>
      <c r="N85" s="153"/>
      <c r="O85" s="153"/>
      <c r="P85" s="153"/>
    </row>
    <row r="86" spans="2:16" ht="154.5" customHeight="1" thickBot="1" x14ac:dyDescent="0.45">
      <c r="B86" s="1450" t="s">
        <v>967</v>
      </c>
      <c r="C86" s="1451"/>
      <c r="D86" s="1451"/>
      <c r="E86" s="1451"/>
      <c r="F86" s="1451"/>
      <c r="G86" s="1451"/>
      <c r="H86" s="1451"/>
      <c r="I86" s="1451"/>
      <c r="J86" s="1451"/>
      <c r="K86" s="1452"/>
      <c r="M86" s="144"/>
      <c r="N86" s="153"/>
      <c r="O86" s="153"/>
      <c r="P86" s="153"/>
    </row>
    <row r="87" spans="2:16" x14ac:dyDescent="0.4">
      <c r="B87" s="446"/>
      <c r="C87" s="444"/>
      <c r="D87" s="444"/>
      <c r="E87" s="444"/>
      <c r="F87" s="971"/>
      <c r="G87" s="971"/>
      <c r="H87" s="971"/>
      <c r="I87" s="971"/>
      <c r="J87" s="971"/>
      <c r="K87" s="989"/>
      <c r="M87" s="144"/>
      <c r="N87" s="153"/>
      <c r="O87" s="153"/>
      <c r="P87" s="153"/>
    </row>
    <row r="88" spans="2:16" ht="16" thickBot="1" x14ac:dyDescent="0.45">
      <c r="B88" s="1106" t="s">
        <v>1000</v>
      </c>
      <c r="C88" s="1011"/>
      <c r="D88" s="1011"/>
      <c r="E88" s="1011"/>
      <c r="F88" s="1063"/>
      <c r="G88" s="1063"/>
      <c r="H88" s="1063"/>
      <c r="I88" s="1063"/>
      <c r="J88" s="1063"/>
      <c r="K88" s="988"/>
      <c r="M88" s="144"/>
      <c r="N88" s="153"/>
      <c r="O88" s="153"/>
      <c r="P88" s="153"/>
    </row>
    <row r="89" spans="2:16" x14ac:dyDescent="0.4">
      <c r="B89" s="444"/>
      <c r="C89" s="138"/>
      <c r="D89" s="138"/>
      <c r="E89" s="138"/>
      <c r="M89" s="144"/>
      <c r="N89" s="153"/>
      <c r="O89" s="153"/>
      <c r="P89" s="153"/>
    </row>
    <row r="90" spans="2:16" ht="16" thickBot="1" x14ac:dyDescent="0.45">
      <c r="B90" s="444"/>
      <c r="C90" s="138"/>
      <c r="D90" s="138"/>
      <c r="E90" s="138"/>
      <c r="M90" s="144"/>
      <c r="N90" s="153"/>
      <c r="O90" s="153"/>
      <c r="P90" s="153"/>
    </row>
    <row r="91" spans="2:16" ht="34.5" customHeight="1" thickBot="1" x14ac:dyDescent="0.45">
      <c r="B91" s="1441" t="str">
        <f>"ASHRAE 103-1993, Section 9.2 OR Appendix N, Section 8.4:" &amp; CHAR(10)
&amp; "Condensing Furnaces and Boilers, Measurement of Condensate Under Steady-State Conditions" &amp; IF(OR('General Info &amp; Test Results'!C49="Non-Condensing",'General Info &amp; Test Results'!C50="Single Stage")," - NOT REQUIRED FOR THIS TEST","")</f>
        <v>ASHRAE 103-1993, Section 9.2 OR Appendix N, Section 8.4:
Condensing Furnaces and Boilers, Measurement of Condensate Under Steady-State Conditions</v>
      </c>
      <c r="C91" s="1442"/>
      <c r="D91" s="1442"/>
      <c r="E91" s="1442"/>
      <c r="F91" s="1442"/>
      <c r="G91" s="1442"/>
      <c r="H91" s="1442"/>
      <c r="I91" s="1442"/>
      <c r="J91" s="1442"/>
      <c r="K91" s="1443"/>
      <c r="M91" s="144"/>
      <c r="N91" s="153"/>
      <c r="O91" s="153"/>
      <c r="P91" s="153"/>
    </row>
    <row r="92" spans="2:16" ht="152.25" customHeight="1" x14ac:dyDescent="0.4">
      <c r="B92" s="1423" t="s">
        <v>904</v>
      </c>
      <c r="C92" s="1424"/>
      <c r="D92" s="1424"/>
      <c r="E92" s="1424"/>
      <c r="F92" s="1424"/>
      <c r="G92" s="1424"/>
      <c r="H92" s="1424"/>
      <c r="I92" s="1424"/>
      <c r="J92" s="1424"/>
      <c r="K92" s="1425"/>
      <c r="M92" s="144"/>
      <c r="N92" s="153"/>
      <c r="O92" s="153"/>
      <c r="P92" s="153"/>
    </row>
    <row r="93" spans="2:16" x14ac:dyDescent="0.4">
      <c r="B93" s="440" t="s">
        <v>52</v>
      </c>
      <c r="C93" s="441" t="s">
        <v>34</v>
      </c>
      <c r="D93" s="442" t="s">
        <v>35</v>
      </c>
      <c r="E93" s="442" t="s">
        <v>33</v>
      </c>
      <c r="F93" s="971"/>
      <c r="G93" s="971"/>
      <c r="H93" s="971"/>
      <c r="I93" s="971"/>
      <c r="J93" s="971"/>
      <c r="K93" s="989"/>
      <c r="M93" s="144"/>
      <c r="N93" s="153"/>
      <c r="O93" s="153"/>
      <c r="P93" s="153"/>
    </row>
    <row r="94" spans="2:16" s="130" customFormat="1" x14ac:dyDescent="0.4">
      <c r="B94" s="260" t="s">
        <v>261</v>
      </c>
      <c r="C94" s="188"/>
      <c r="D94" s="287" t="s">
        <v>218</v>
      </c>
      <c r="E94" s="1035" t="s">
        <v>178</v>
      </c>
      <c r="F94" s="587"/>
      <c r="G94" s="587"/>
      <c r="H94" s="587"/>
      <c r="I94" s="587"/>
      <c r="J94" s="587"/>
      <c r="K94" s="637"/>
      <c r="M94" s="131"/>
    </row>
    <row r="95" spans="2:16" x14ac:dyDescent="0.4">
      <c r="B95" s="260" t="s">
        <v>79</v>
      </c>
      <c r="C95" s="1121" t="str">
        <f>IF(C94="","",IF(C94&gt;80, "No","Yes"))</f>
        <v/>
      </c>
      <c r="D95" s="272" t="s">
        <v>178</v>
      </c>
      <c r="E95" s="975" t="s">
        <v>178</v>
      </c>
      <c r="F95" s="971"/>
      <c r="G95" s="971"/>
      <c r="H95" s="971"/>
      <c r="I95" s="971"/>
      <c r="J95" s="971"/>
      <c r="K95" s="989"/>
      <c r="M95" s="144"/>
    </row>
    <row r="96" spans="2:16" ht="17.5" x14ac:dyDescent="0.4">
      <c r="B96" s="260" t="s">
        <v>61</v>
      </c>
      <c r="C96" s="122" t="str">
        <f>IF('Test Conditions'!D17="", "",'Test Conditions'!D17)</f>
        <v/>
      </c>
      <c r="D96" s="271" t="s">
        <v>258</v>
      </c>
      <c r="E96" s="975" t="s">
        <v>59</v>
      </c>
      <c r="F96" s="506"/>
      <c r="G96" s="506"/>
      <c r="H96" s="506"/>
      <c r="I96" s="506"/>
      <c r="J96" s="506"/>
      <c r="K96" s="1036"/>
      <c r="L96" s="133"/>
      <c r="M96" s="144"/>
    </row>
    <row r="97" spans="2:13" ht="16.5" x14ac:dyDescent="0.4">
      <c r="B97" s="330" t="s">
        <v>547</v>
      </c>
      <c r="C97" s="111"/>
      <c r="D97" s="271" t="s">
        <v>80</v>
      </c>
      <c r="E97" s="975" t="s">
        <v>714</v>
      </c>
      <c r="F97" s="444"/>
      <c r="G97" s="444"/>
      <c r="H97" s="444"/>
      <c r="I97" s="444"/>
      <c r="J97" s="444"/>
      <c r="K97" s="447"/>
      <c r="L97" s="138"/>
      <c r="M97" s="145"/>
    </row>
    <row r="98" spans="2:13" x14ac:dyDescent="0.4">
      <c r="B98" s="260" t="s">
        <v>77</v>
      </c>
      <c r="C98" s="111"/>
      <c r="D98" s="271" t="s">
        <v>76</v>
      </c>
      <c r="E98" s="975" t="s">
        <v>178</v>
      </c>
      <c r="F98" s="1032"/>
      <c r="G98" s="1032"/>
      <c r="H98" s="1032"/>
      <c r="I98" s="1032"/>
      <c r="J98" s="1032"/>
      <c r="K98" s="1037"/>
      <c r="L98" s="154"/>
      <c r="M98" s="155"/>
    </row>
    <row r="99" spans="2:13" x14ac:dyDescent="0.4">
      <c r="B99" s="260" t="s">
        <v>78</v>
      </c>
      <c r="C99" s="111"/>
      <c r="D99" s="272" t="s">
        <v>76</v>
      </c>
      <c r="E99" s="975" t="s">
        <v>178</v>
      </c>
      <c r="F99" s="1032"/>
      <c r="G99" s="1032"/>
      <c r="H99" s="1032"/>
      <c r="I99" s="1032"/>
      <c r="J99" s="1032"/>
      <c r="K99" s="1037"/>
      <c r="L99" s="154"/>
      <c r="M99" s="155"/>
    </row>
    <row r="100" spans="2:13" ht="17" thickBot="1" x14ac:dyDescent="0.45">
      <c r="B100" s="289" t="s">
        <v>260</v>
      </c>
      <c r="C100" s="123" t="str">
        <f>IF(C98-C99=0,"",C98-C99)</f>
        <v/>
      </c>
      <c r="D100" s="276" t="s">
        <v>76</v>
      </c>
      <c r="E100" s="1038" t="s">
        <v>715</v>
      </c>
      <c r="F100" s="1039"/>
      <c r="G100" s="1040"/>
      <c r="H100" s="1040"/>
      <c r="I100" s="1040"/>
      <c r="J100" s="1040"/>
      <c r="K100" s="1041"/>
      <c r="L100" s="154"/>
      <c r="M100" s="155"/>
    </row>
    <row r="101" spans="2:13" x14ac:dyDescent="0.4">
      <c r="B101" s="290"/>
      <c r="C101" s="291"/>
      <c r="D101" s="278"/>
      <c r="E101" s="278"/>
      <c r="F101" s="133"/>
      <c r="G101" s="133"/>
      <c r="H101" s="133"/>
      <c r="I101" s="133"/>
      <c r="J101" s="133"/>
      <c r="K101" s="133"/>
      <c r="L101" s="133"/>
      <c r="M101" s="155"/>
    </row>
    <row r="102" spans="2:13" ht="16" thickBot="1" x14ac:dyDescent="0.45">
      <c r="B102" s="290"/>
      <c r="C102" s="291"/>
      <c r="D102" s="278"/>
      <c r="E102" s="278"/>
      <c r="F102" s="133"/>
      <c r="G102" s="133"/>
      <c r="H102" s="133"/>
      <c r="I102" s="133"/>
      <c r="J102" s="133"/>
      <c r="K102" s="133"/>
      <c r="L102" s="133"/>
      <c r="M102" s="155"/>
    </row>
    <row r="103" spans="2:13" ht="16" thickBot="1" x14ac:dyDescent="0.45">
      <c r="B103" s="1409" t="str">
        <f>"ASHRAE 103-1993, Section 9.4: Electric Boilers" &amp; IF(AND(OR('General Info &amp; Test Results'!C37="Electricity",'General Info &amp; Test Results'!C37=""),'General Info &amp; Test Results'!C50&lt;&gt;"Single Stage"),""," - NOT REQUIRED FOR THIS TEST")</f>
        <v>ASHRAE 103-1993, Section 9.4: Electric Boilers</v>
      </c>
      <c r="C103" s="1410"/>
      <c r="D103" s="1410"/>
      <c r="E103" s="1410"/>
      <c r="F103" s="1410"/>
      <c r="G103" s="1410"/>
      <c r="H103" s="1410"/>
      <c r="I103" s="1410"/>
      <c r="J103" s="1410"/>
      <c r="K103" s="1411"/>
      <c r="L103" s="133"/>
      <c r="M103" s="155"/>
    </row>
    <row r="104" spans="2:13" ht="33.75" customHeight="1" x14ac:dyDescent="0.4">
      <c r="B104" s="1423" t="s">
        <v>867</v>
      </c>
      <c r="C104" s="1424"/>
      <c r="D104" s="1424"/>
      <c r="E104" s="1424"/>
      <c r="F104" s="1424"/>
      <c r="G104" s="1424"/>
      <c r="H104" s="1424"/>
      <c r="I104" s="1424"/>
      <c r="J104" s="1424"/>
      <c r="K104" s="1425"/>
      <c r="L104" s="133"/>
      <c r="M104" s="155"/>
    </row>
    <row r="105" spans="2:13" x14ac:dyDescent="0.4">
      <c r="B105" s="440" t="s">
        <v>52</v>
      </c>
      <c r="C105" s="441" t="s">
        <v>34</v>
      </c>
      <c r="D105" s="442" t="s">
        <v>35</v>
      </c>
      <c r="E105" s="442" t="s">
        <v>33</v>
      </c>
      <c r="F105" s="506"/>
      <c r="G105" s="506"/>
      <c r="H105" s="506"/>
      <c r="I105" s="506"/>
      <c r="J105" s="506"/>
      <c r="K105" s="1036"/>
      <c r="L105" s="133"/>
      <c r="M105" s="155"/>
    </row>
    <row r="106" spans="2:13" ht="16.5" x14ac:dyDescent="0.4">
      <c r="B106" s="473" t="s">
        <v>424</v>
      </c>
      <c r="C106" s="111"/>
      <c r="D106" s="477" t="str">
        <f>IF('General Info &amp; Test Results'!$C$37="Electricity","kW","Btu/h")</f>
        <v>Btu/h</v>
      </c>
      <c r="E106" s="1129" t="s">
        <v>713</v>
      </c>
      <c r="F106" s="506"/>
      <c r="G106" s="506"/>
      <c r="H106" s="506"/>
      <c r="I106" s="506"/>
      <c r="J106" s="506"/>
      <c r="K106" s="1036"/>
      <c r="L106" s="133"/>
      <c r="M106" s="155"/>
    </row>
    <row r="107" spans="2:13" x14ac:dyDescent="0.4">
      <c r="B107" s="479" t="s">
        <v>423</v>
      </c>
      <c r="C107" s="471" t="str">
        <f>IF(OR(C110="",C111="",C112=""),"",IF(ABS(MIN(C110:C112)-MAX(C110:C112))&lt;=4,"Yes","No"))</f>
        <v/>
      </c>
      <c r="D107" s="478" t="s">
        <v>178</v>
      </c>
      <c r="E107" s="478" t="s">
        <v>178</v>
      </c>
      <c r="F107" s="506"/>
      <c r="G107" s="506"/>
      <c r="H107" s="506"/>
      <c r="I107" s="506"/>
      <c r="J107" s="506"/>
      <c r="K107" s="1036"/>
      <c r="L107" s="133"/>
      <c r="M107" s="155"/>
    </row>
    <row r="108" spans="2:13" x14ac:dyDescent="0.4">
      <c r="B108" s="451"/>
      <c r="C108" s="292"/>
      <c r="D108" s="452"/>
      <c r="E108" s="452"/>
      <c r="F108" s="506"/>
      <c r="G108" s="506"/>
      <c r="H108" s="506"/>
      <c r="I108" s="506"/>
      <c r="J108" s="506"/>
      <c r="K108" s="1036"/>
      <c r="L108" s="133"/>
      <c r="M108" s="155"/>
    </row>
    <row r="109" spans="2:13" ht="31" x14ac:dyDescent="0.4">
      <c r="B109" s="480" t="s">
        <v>181</v>
      </c>
      <c r="C109" s="457" t="s">
        <v>393</v>
      </c>
      <c r="D109" s="452"/>
      <c r="E109" s="452"/>
      <c r="F109" s="506"/>
      <c r="G109" s="506"/>
      <c r="H109" s="506"/>
      <c r="I109" s="506"/>
      <c r="J109" s="506"/>
      <c r="K109" s="1036"/>
      <c r="L109" s="133"/>
      <c r="M109" s="155"/>
    </row>
    <row r="110" spans="2:13" x14ac:dyDescent="0.4">
      <c r="B110" s="433">
        <v>0</v>
      </c>
      <c r="C110" s="111"/>
      <c r="D110" s="452"/>
      <c r="E110" s="452"/>
      <c r="F110" s="506"/>
      <c r="G110" s="506"/>
      <c r="H110" s="506"/>
      <c r="I110" s="506"/>
      <c r="J110" s="506"/>
      <c r="K110" s="1036"/>
      <c r="L110" s="133"/>
      <c r="M110" s="155"/>
    </row>
    <row r="111" spans="2:13" x14ac:dyDescent="0.4">
      <c r="B111" s="279">
        <v>15</v>
      </c>
      <c r="C111" s="111"/>
      <c r="D111" s="452"/>
      <c r="E111" s="452"/>
      <c r="F111" s="506"/>
      <c r="G111" s="506"/>
      <c r="H111" s="506"/>
      <c r="I111" s="506"/>
      <c r="J111" s="506"/>
      <c r="K111" s="1036"/>
      <c r="L111" s="133"/>
      <c r="M111" s="155"/>
    </row>
    <row r="112" spans="2:13" ht="16" thickBot="1" x14ac:dyDescent="0.45">
      <c r="B112" s="280">
        <v>30</v>
      </c>
      <c r="C112" s="121"/>
      <c r="D112" s="481"/>
      <c r="E112" s="481"/>
      <c r="F112" s="1050"/>
      <c r="G112" s="1050"/>
      <c r="H112" s="1050"/>
      <c r="I112" s="1050"/>
      <c r="J112" s="1050"/>
      <c r="K112" s="1051"/>
      <c r="L112" s="133"/>
      <c r="M112" s="155"/>
    </row>
    <row r="113" spans="2:13" x14ac:dyDescent="0.4">
      <c r="B113" s="290"/>
      <c r="C113" s="291"/>
      <c r="D113" s="278"/>
      <c r="E113" s="278"/>
      <c r="F113" s="133"/>
      <c r="G113" s="133"/>
      <c r="H113" s="133"/>
      <c r="I113" s="133"/>
      <c r="J113" s="133"/>
      <c r="K113" s="133"/>
      <c r="L113" s="133"/>
      <c r="M113" s="155"/>
    </row>
    <row r="114" spans="2:13" ht="16" thickBot="1" x14ac:dyDescent="0.45">
      <c r="B114" s="290"/>
      <c r="C114" s="291"/>
      <c r="D114" s="278"/>
      <c r="E114" s="278"/>
      <c r="F114" s="133"/>
      <c r="G114" s="133"/>
      <c r="H114" s="133"/>
      <c r="I114" s="133"/>
      <c r="J114" s="133"/>
      <c r="K114" s="133"/>
      <c r="L114" s="133"/>
      <c r="M114" s="155"/>
    </row>
    <row r="115" spans="2:13" ht="16" thickBot="1" x14ac:dyDescent="0.45">
      <c r="B115" s="1409" t="str">
        <f>"Cool-Down Test" &amp; IF('General Info &amp; Test Results'!$C$37="Electricity"," - NOT REQUIRED FOR THIS TEST","")</f>
        <v>Cool-Down Test</v>
      </c>
      <c r="C115" s="1410"/>
      <c r="D115" s="1410"/>
      <c r="E115" s="1410"/>
      <c r="F115" s="1410"/>
      <c r="G115" s="1410"/>
      <c r="H115" s="1410"/>
      <c r="I115" s="1410"/>
      <c r="J115" s="1410"/>
      <c r="K115" s="1411"/>
      <c r="L115" s="133"/>
      <c r="M115" s="155"/>
    </row>
    <row r="116" spans="2:13" ht="68.25" customHeight="1" x14ac:dyDescent="0.4">
      <c r="B116" s="1423" t="s">
        <v>899</v>
      </c>
      <c r="C116" s="1424"/>
      <c r="D116" s="1424"/>
      <c r="E116" s="1424"/>
      <c r="F116" s="1424"/>
      <c r="G116" s="1424"/>
      <c r="H116" s="1424"/>
      <c r="I116" s="1424"/>
      <c r="J116" s="1424"/>
      <c r="K116" s="1425"/>
      <c r="L116" s="133"/>
      <c r="M116" s="155"/>
    </row>
    <row r="117" spans="2:13" x14ac:dyDescent="0.4">
      <c r="B117" s="818"/>
      <c r="C117" s="817"/>
      <c r="D117" s="817"/>
      <c r="E117" s="817"/>
      <c r="F117" s="506"/>
      <c r="G117" s="506"/>
      <c r="H117" s="506"/>
      <c r="I117" s="506"/>
      <c r="J117" s="506"/>
      <c r="K117" s="1036"/>
      <c r="L117" s="133"/>
      <c r="M117" s="155"/>
    </row>
    <row r="118" spans="2:13" ht="191.25" customHeight="1" x14ac:dyDescent="0.4">
      <c r="B118" s="1426" t="s">
        <v>898</v>
      </c>
      <c r="C118" s="1427"/>
      <c r="D118" s="1427"/>
      <c r="E118" s="1427"/>
      <c r="F118" s="1427"/>
      <c r="G118" s="1427"/>
      <c r="H118" s="1427"/>
      <c r="I118" s="1427"/>
      <c r="J118" s="1427"/>
      <c r="K118" s="1428"/>
      <c r="L118" s="133"/>
      <c r="M118" s="155"/>
    </row>
    <row r="119" spans="2:13" x14ac:dyDescent="0.4">
      <c r="B119" s="1102" t="s">
        <v>52</v>
      </c>
      <c r="C119" s="1099" t="s">
        <v>34</v>
      </c>
      <c r="D119" s="1100" t="s">
        <v>35</v>
      </c>
      <c r="E119" s="1100" t="s">
        <v>33</v>
      </c>
      <c r="F119" s="506"/>
      <c r="G119" s="506"/>
      <c r="H119" s="506"/>
      <c r="I119" s="506"/>
      <c r="J119" s="506"/>
      <c r="K119" s="1036"/>
      <c r="L119" s="133"/>
      <c r="M119" s="155"/>
    </row>
    <row r="120" spans="2:13" x14ac:dyDescent="0.4">
      <c r="B120" s="875" t="s">
        <v>410</v>
      </c>
      <c r="C120" s="191"/>
      <c r="D120" s="873" t="s">
        <v>178</v>
      </c>
      <c r="E120" s="1035" t="s">
        <v>178</v>
      </c>
      <c r="F120" s="506"/>
      <c r="G120" s="506"/>
      <c r="H120" s="506"/>
      <c r="I120" s="506"/>
      <c r="J120" s="506"/>
      <c r="K120" s="1036"/>
      <c r="L120" s="133"/>
      <c r="M120" s="155"/>
    </row>
    <row r="121" spans="2:13" x14ac:dyDescent="0.4">
      <c r="B121" s="876" t="s">
        <v>404</v>
      </c>
      <c r="C121" s="111"/>
      <c r="D121" s="874" t="s">
        <v>36</v>
      </c>
      <c r="E121" s="1128" t="s">
        <v>413</v>
      </c>
      <c r="F121" s="506"/>
      <c r="G121" s="506"/>
      <c r="H121" s="506"/>
      <c r="I121" s="506"/>
      <c r="J121" s="506"/>
      <c r="K121" s="1036"/>
      <c r="L121" s="133"/>
      <c r="M121" s="155"/>
    </row>
    <row r="122" spans="2:13" x14ac:dyDescent="0.4">
      <c r="B122" s="446"/>
      <c r="C122" s="444"/>
      <c r="D122" s="444"/>
      <c r="E122" s="1074"/>
      <c r="F122" s="506"/>
      <c r="G122" s="506"/>
      <c r="H122" s="506"/>
      <c r="I122" s="506"/>
      <c r="J122" s="506"/>
      <c r="K122" s="1036"/>
      <c r="L122" s="133"/>
      <c r="M122" s="155"/>
    </row>
    <row r="123" spans="2:13" x14ac:dyDescent="0.4">
      <c r="B123" s="877" t="s">
        <v>409</v>
      </c>
      <c r="C123" s="111"/>
      <c r="D123" s="287" t="s">
        <v>178</v>
      </c>
      <c r="E123" s="1035" t="s">
        <v>178</v>
      </c>
      <c r="F123" s="506"/>
      <c r="G123" s="506"/>
      <c r="H123" s="506"/>
      <c r="I123" s="506"/>
      <c r="J123" s="506"/>
      <c r="K123" s="1036"/>
      <c r="L123" s="133"/>
      <c r="M123" s="155"/>
    </row>
    <row r="124" spans="2:13" ht="16.5" x14ac:dyDescent="0.4">
      <c r="B124" s="878" t="str">
        <f>IF(C123="No","N/A","Post Purge Time")</f>
        <v>Post Purge Time</v>
      </c>
      <c r="C124" s="111"/>
      <c r="D124" s="874" t="s">
        <v>179</v>
      </c>
      <c r="E124" s="1128" t="s">
        <v>641</v>
      </c>
      <c r="F124" s="1054" t="s">
        <v>408</v>
      </c>
      <c r="G124" s="506"/>
      <c r="H124" s="506"/>
      <c r="I124" s="506"/>
      <c r="J124" s="506"/>
      <c r="K124" s="1036"/>
      <c r="L124" s="133"/>
      <c r="M124" s="155"/>
    </row>
    <row r="125" spans="2:13" x14ac:dyDescent="0.4">
      <c r="B125" s="451"/>
      <c r="C125" s="292"/>
      <c r="D125" s="452"/>
      <c r="E125" s="1124"/>
      <c r="F125" s="506"/>
      <c r="G125" s="506"/>
      <c r="H125" s="506"/>
      <c r="I125" s="506"/>
      <c r="J125" s="506"/>
      <c r="K125" s="1036"/>
      <c r="L125" s="133"/>
      <c r="M125" s="155"/>
    </row>
    <row r="126" spans="2:13" ht="16.5" x14ac:dyDescent="0.4">
      <c r="B126" s="879" t="str">
        <f>IF(C123="No","N/A","Temperature at the end of the post-purge period")</f>
        <v>Temperature at the end of the post-purge period</v>
      </c>
      <c r="C126" s="111"/>
      <c r="D126" s="873" t="s">
        <v>51</v>
      </c>
      <c r="E126" s="1035" t="s">
        <v>716</v>
      </c>
      <c r="F126" s="506"/>
      <c r="G126" s="506"/>
      <c r="H126" s="506"/>
      <c r="I126" s="506"/>
      <c r="J126" s="506"/>
      <c r="K126" s="1036"/>
      <c r="L126" s="133"/>
      <c r="M126" s="155"/>
    </row>
    <row r="127" spans="2:13" ht="16.5" x14ac:dyDescent="0.4">
      <c r="B127" s="260" t="str">
        <f>IF(C123="No","Temperature 3.75 minutes after burner shut-off","Temperature 3.75 minutes after end of post-purge period")</f>
        <v>Temperature 3.75 minutes after end of post-purge period</v>
      </c>
      <c r="C127" s="111"/>
      <c r="D127" s="271" t="s">
        <v>51</v>
      </c>
      <c r="E127" s="974" t="s">
        <v>642</v>
      </c>
      <c r="F127" s="506"/>
      <c r="G127" s="506"/>
      <c r="H127" s="506"/>
      <c r="I127" s="506"/>
      <c r="J127" s="506"/>
      <c r="K127" s="1036"/>
      <c r="L127" s="133"/>
      <c r="M127" s="155"/>
    </row>
    <row r="128" spans="2:13" ht="17" thickBot="1" x14ac:dyDescent="0.45">
      <c r="B128" s="275" t="str">
        <f>IF(C123="No","Temperature 22.5 minutes after burner shut-off","Temperature 22.5 minutes after end of post-purge period")</f>
        <v>Temperature 22.5 minutes after end of post-purge period</v>
      </c>
      <c r="C128" s="121"/>
      <c r="D128" s="276" t="s">
        <v>51</v>
      </c>
      <c r="E128" s="1057" t="s">
        <v>643</v>
      </c>
      <c r="F128" s="1050"/>
      <c r="G128" s="1050"/>
      <c r="H128" s="1050"/>
      <c r="I128" s="1050"/>
      <c r="J128" s="1050"/>
      <c r="K128" s="1051"/>
      <c r="L128" s="133"/>
      <c r="M128" s="155"/>
    </row>
    <row r="129" spans="2:13" ht="16" thickBot="1" x14ac:dyDescent="0.45">
      <c r="B129" s="451"/>
      <c r="C129" s="292"/>
      <c r="D129" s="452"/>
      <c r="E129" s="452"/>
      <c r="F129" s="506"/>
      <c r="G129" s="133"/>
      <c r="H129" s="133"/>
      <c r="I129" s="133"/>
      <c r="J129" s="133"/>
      <c r="K129" s="133"/>
      <c r="L129" s="133"/>
      <c r="M129" s="155"/>
    </row>
    <row r="130" spans="2:13" ht="102" customHeight="1" x14ac:dyDescent="0.4">
      <c r="B130" s="1423" t="s">
        <v>900</v>
      </c>
      <c r="C130" s="1424"/>
      <c r="D130" s="1424"/>
      <c r="E130" s="1424"/>
      <c r="F130" s="1424"/>
      <c r="G130" s="1424"/>
      <c r="H130" s="1424"/>
      <c r="I130" s="1424"/>
      <c r="J130" s="1424"/>
      <c r="K130" s="1425"/>
      <c r="L130" s="133"/>
      <c r="M130" s="155"/>
    </row>
    <row r="131" spans="2:13" x14ac:dyDescent="0.4">
      <c r="B131" s="1102" t="s">
        <v>52</v>
      </c>
      <c r="C131" s="1099" t="s">
        <v>34</v>
      </c>
      <c r="D131" s="1100" t="s">
        <v>35</v>
      </c>
      <c r="E131" s="1100" t="s">
        <v>33</v>
      </c>
      <c r="F131" s="506"/>
      <c r="G131" s="506"/>
      <c r="H131" s="506"/>
      <c r="I131" s="506"/>
      <c r="J131" s="506"/>
      <c r="K131" s="1036"/>
      <c r="L131" s="133"/>
      <c r="M131" s="155"/>
    </row>
    <row r="132" spans="2:13" ht="16.5" x14ac:dyDescent="0.4">
      <c r="B132" s="260" t="s">
        <v>206</v>
      </c>
      <c r="C132" s="111"/>
      <c r="D132" s="271" t="s">
        <v>51</v>
      </c>
      <c r="E132" s="974" t="s">
        <v>644</v>
      </c>
      <c r="F132" s="506"/>
      <c r="G132" s="506"/>
      <c r="H132" s="506"/>
      <c r="I132" s="506"/>
      <c r="J132" s="506"/>
      <c r="K132" s="1036"/>
      <c r="L132" s="133"/>
      <c r="M132" s="155"/>
    </row>
    <row r="133" spans="2:13" ht="17" thickBot="1" x14ac:dyDescent="0.45">
      <c r="B133" s="289" t="str">
        <f>IF('General Info &amp; Test Results'!C37="Electricity","N/A","Fuel Energy Input Rate to Pilot Light")</f>
        <v>Fuel Energy Input Rate to Pilot Light</v>
      </c>
      <c r="C133" s="121"/>
      <c r="D133" s="276" t="s">
        <v>37</v>
      </c>
      <c r="E133" s="1038" t="s">
        <v>687</v>
      </c>
      <c r="F133" s="1050"/>
      <c r="G133" s="1050"/>
      <c r="H133" s="1050"/>
      <c r="I133" s="1050"/>
      <c r="J133" s="1050"/>
      <c r="K133" s="1051"/>
      <c r="L133" s="133"/>
      <c r="M133" s="155"/>
    </row>
    <row r="134" spans="2:13" ht="16" thickBot="1" x14ac:dyDescent="0.45">
      <c r="B134" s="1488" t="str">
        <f>"End Cool-Down Test" &amp; IF('General Info &amp; Test Results'!$C$37="Electricity"," - NOT REQUIRED FOR THIS TEST","")</f>
        <v>End Cool-Down Test</v>
      </c>
      <c r="C134" s="1489"/>
      <c r="D134" s="1489"/>
      <c r="E134" s="1489"/>
      <c r="F134" s="1489"/>
      <c r="G134" s="1489"/>
      <c r="H134" s="1489"/>
      <c r="I134" s="1489"/>
      <c r="J134" s="1489"/>
      <c r="K134" s="1490"/>
      <c r="L134" s="133"/>
      <c r="M134" s="155"/>
    </row>
    <row r="135" spans="2:13" x14ac:dyDescent="0.4">
      <c r="B135" s="290"/>
      <c r="C135" s="291"/>
      <c r="D135" s="278"/>
      <c r="E135" s="278"/>
      <c r="F135" s="133"/>
      <c r="G135" s="133"/>
      <c r="H135" s="133"/>
      <c r="I135" s="133"/>
      <c r="J135" s="133"/>
      <c r="K135" s="133"/>
      <c r="L135" s="133"/>
      <c r="M135" s="155"/>
    </row>
    <row r="136" spans="2:13" ht="16" thickBot="1" x14ac:dyDescent="0.45">
      <c r="B136" s="290"/>
      <c r="C136" s="291"/>
      <c r="D136" s="278"/>
      <c r="E136" s="278"/>
      <c r="F136" s="133"/>
      <c r="G136" s="133"/>
      <c r="H136" s="133"/>
      <c r="I136" s="133"/>
      <c r="J136" s="133"/>
      <c r="K136" s="133"/>
      <c r="L136" s="133"/>
      <c r="M136" s="155"/>
    </row>
    <row r="137" spans="2:13" ht="16" thickBot="1" x14ac:dyDescent="0.45">
      <c r="B137" s="283" t="str">
        <f>"Heat-Up Test" &amp; IF('General Info &amp; Test Results'!$C$37="Electricity"," - NOT REQUIRED FOR THIS TEST","")</f>
        <v>Heat-Up Test</v>
      </c>
      <c r="C137" s="284"/>
      <c r="D137" s="285"/>
      <c r="E137" s="967"/>
      <c r="F137" s="967"/>
      <c r="G137" s="967"/>
      <c r="H137" s="967"/>
      <c r="I137" s="967"/>
      <c r="J137" s="967"/>
      <c r="K137" s="286"/>
      <c r="L137" s="133"/>
      <c r="M137" s="155"/>
    </row>
    <row r="138" spans="2:13" ht="117.75" customHeight="1" x14ac:dyDescent="0.4">
      <c r="B138" s="1423" t="s">
        <v>901</v>
      </c>
      <c r="C138" s="1424"/>
      <c r="D138" s="1424"/>
      <c r="E138" s="1424"/>
      <c r="F138" s="1424"/>
      <c r="G138" s="1424"/>
      <c r="H138" s="1424"/>
      <c r="I138" s="1424"/>
      <c r="J138" s="1424"/>
      <c r="K138" s="1425"/>
      <c r="L138" s="133"/>
      <c r="M138" s="155"/>
    </row>
    <row r="139" spans="2:13" x14ac:dyDescent="0.4">
      <c r="B139" s="1102" t="s">
        <v>52</v>
      </c>
      <c r="C139" s="1099" t="s">
        <v>34</v>
      </c>
      <c r="D139" s="1100" t="s">
        <v>35</v>
      </c>
      <c r="E139" s="1100" t="s">
        <v>33</v>
      </c>
      <c r="F139" s="506"/>
      <c r="G139" s="506"/>
      <c r="H139" s="506"/>
      <c r="I139" s="506"/>
      <c r="J139" s="506"/>
      <c r="K139" s="1036"/>
      <c r="L139" s="133"/>
      <c r="M139" s="155"/>
    </row>
    <row r="140" spans="2:13" ht="16.5" x14ac:dyDescent="0.4">
      <c r="B140" s="260" t="s">
        <v>411</v>
      </c>
      <c r="C140" s="111"/>
      <c r="D140" s="1232" t="s">
        <v>51</v>
      </c>
      <c r="E140" s="975" t="s">
        <v>634</v>
      </c>
      <c r="F140" s="506"/>
      <c r="G140" s="506"/>
      <c r="H140" s="506"/>
      <c r="I140" s="506"/>
      <c r="J140" s="506"/>
      <c r="K140" s="1036"/>
      <c r="L140" s="133"/>
      <c r="M140" s="155"/>
    </row>
    <row r="141" spans="2:13" ht="17" thickBot="1" x14ac:dyDescent="0.45">
      <c r="B141" s="275" t="s">
        <v>412</v>
      </c>
      <c r="C141" s="121"/>
      <c r="D141" s="823" t="s">
        <v>51</v>
      </c>
      <c r="E141" s="1038" t="s">
        <v>635</v>
      </c>
      <c r="F141" s="1050"/>
      <c r="G141" s="1050"/>
      <c r="H141" s="1050"/>
      <c r="I141" s="1050"/>
      <c r="J141" s="1050"/>
      <c r="K141" s="1051"/>
      <c r="L141" s="133"/>
      <c r="M141" s="155"/>
    </row>
    <row r="142" spans="2:13" ht="16" thickBot="1" x14ac:dyDescent="0.45">
      <c r="B142" s="451"/>
      <c r="C142" s="292"/>
      <c r="D142" s="452"/>
      <c r="E142" s="452"/>
      <c r="F142" s="506"/>
      <c r="G142" s="506"/>
      <c r="H142" s="506"/>
      <c r="I142" s="506"/>
      <c r="J142" s="506"/>
      <c r="K142" s="1036"/>
      <c r="L142" s="133"/>
      <c r="M142" s="155"/>
    </row>
    <row r="143" spans="2:13" ht="152.25" customHeight="1" x14ac:dyDescent="0.4">
      <c r="B143" s="1429" t="s">
        <v>889</v>
      </c>
      <c r="C143" s="1430"/>
      <c r="D143" s="1430"/>
      <c r="E143" s="1430"/>
      <c r="F143" s="1430"/>
      <c r="G143" s="1430"/>
      <c r="H143" s="1430"/>
      <c r="I143" s="1430"/>
      <c r="J143" s="1430"/>
      <c r="K143" s="1431"/>
      <c r="L143" s="133"/>
      <c r="M143" s="155"/>
    </row>
    <row r="144" spans="2:13" x14ac:dyDescent="0.4">
      <c r="B144" s="803"/>
      <c r="C144" s="801"/>
      <c r="D144" s="801"/>
      <c r="E144" s="801"/>
      <c r="F144" s="506"/>
      <c r="G144" s="506"/>
      <c r="H144" s="506"/>
      <c r="I144" s="506"/>
      <c r="J144" s="506"/>
      <c r="K144" s="1036"/>
      <c r="L144" s="133"/>
      <c r="M144" s="155"/>
    </row>
    <row r="145" spans="2:13" ht="33.75" customHeight="1" x14ac:dyDescent="0.4">
      <c r="B145" s="1461" t="s">
        <v>949</v>
      </c>
      <c r="C145" s="1462"/>
      <c r="D145" s="1462"/>
      <c r="E145" s="1462"/>
      <c r="F145" s="1462"/>
      <c r="G145" s="1462"/>
      <c r="H145" s="1462"/>
      <c r="I145" s="1462"/>
      <c r="J145" s="1462"/>
      <c r="K145" s="1463"/>
      <c r="L145" s="133"/>
      <c r="M145" s="155"/>
    </row>
    <row r="146" spans="2:13" x14ac:dyDescent="0.4">
      <c r="B146" s="803"/>
      <c r="C146" s="801"/>
      <c r="D146" s="801"/>
      <c r="E146" s="801"/>
      <c r="F146" s="972"/>
      <c r="G146" s="971"/>
      <c r="H146" s="971"/>
      <c r="I146" s="971"/>
      <c r="J146" s="971"/>
      <c r="K146" s="989"/>
      <c r="L146" s="133"/>
      <c r="M146" s="155"/>
    </row>
    <row r="147" spans="2:13" x14ac:dyDescent="0.4">
      <c r="B147" s="1444" t="str">
        <f>"Non-Condensing Hot Water Boilers" &amp; IF(OR('General Info &amp; Test Results'!$C$37="Electricity",'General Info &amp; Test Results'!$C$49="Non-Condensing"),""," - NOT REQUIRED FOR THIS TEST")</f>
        <v>Non-Condensing Hot Water Boilers - NOT REQUIRED FOR THIS TEST</v>
      </c>
      <c r="C147" s="1445"/>
      <c r="D147" s="1445"/>
      <c r="E147" s="1446"/>
      <c r="F147" s="1060"/>
      <c r="G147" s="1022"/>
      <c r="H147" s="1023"/>
      <c r="I147" s="971"/>
      <c r="J147" s="971"/>
      <c r="K147" s="989"/>
      <c r="L147" s="133"/>
      <c r="M147" s="155"/>
    </row>
    <row r="148" spans="2:13" x14ac:dyDescent="0.4">
      <c r="B148" s="1418" t="s">
        <v>52</v>
      </c>
      <c r="C148" s="1420" t="s">
        <v>943</v>
      </c>
      <c r="D148" s="1421"/>
      <c r="E148" s="1361" t="s">
        <v>892</v>
      </c>
      <c r="F148" s="1361"/>
      <c r="G148" s="1362" t="s">
        <v>35</v>
      </c>
      <c r="H148" s="1422" t="s">
        <v>891</v>
      </c>
      <c r="I148" s="971"/>
      <c r="J148" s="971"/>
      <c r="K148" s="989"/>
      <c r="L148" s="133"/>
      <c r="M148" s="155"/>
    </row>
    <row r="149" spans="2:13" x14ac:dyDescent="0.4">
      <c r="B149" s="1419"/>
      <c r="C149" s="800" t="s">
        <v>269</v>
      </c>
      <c r="D149" s="800" t="s">
        <v>270</v>
      </c>
      <c r="E149" s="1019" t="s">
        <v>269</v>
      </c>
      <c r="F149" s="1019" t="s">
        <v>270</v>
      </c>
      <c r="G149" s="1362"/>
      <c r="H149" s="1422"/>
      <c r="I149" s="971"/>
      <c r="J149" s="971"/>
      <c r="K149" s="989"/>
      <c r="L149" s="133"/>
      <c r="M149" s="155"/>
    </row>
    <row r="150" spans="2:13" x14ac:dyDescent="0.4">
      <c r="B150" s="1061" t="s">
        <v>890</v>
      </c>
      <c r="C150" s="111"/>
      <c r="D150" s="111"/>
      <c r="E150" s="122" t="str">
        <f>IF('General Info &amp; Test Results'!$C$49&lt;&gt;"Non-Condensing","N/A",120)</f>
        <v>N/A</v>
      </c>
      <c r="F150" s="122" t="str">
        <f>IF('General Info &amp; Test Results'!$C$49&lt;&gt;"Non-Condensing","N/A",124)</f>
        <v>N/A</v>
      </c>
      <c r="G150" s="1059" t="s">
        <v>51</v>
      </c>
      <c r="H150" s="471" t="str">
        <f>IF('General Info &amp; Test Results'!$C$49&lt;&gt;"Non-Condensing","N/A",IF(AND(C150&gt;=E150,D150&lt;=F150,C150&lt;=D150),"Yes","No"))</f>
        <v>N/A</v>
      </c>
      <c r="I150" s="506"/>
      <c r="J150" s="506"/>
      <c r="K150" s="1036"/>
      <c r="L150" s="133"/>
      <c r="M150" s="155"/>
    </row>
    <row r="151" spans="2:13" x14ac:dyDescent="0.4">
      <c r="B151" s="803"/>
      <c r="C151" s="801"/>
      <c r="D151" s="801"/>
      <c r="E151" s="801"/>
      <c r="F151" s="506"/>
      <c r="G151" s="506"/>
      <c r="H151" s="506"/>
      <c r="I151" s="506"/>
      <c r="J151" s="506"/>
      <c r="K151" s="1036"/>
      <c r="L151" s="133"/>
      <c r="M151" s="155"/>
    </row>
    <row r="152" spans="2:13" x14ac:dyDescent="0.4">
      <c r="B152" s="1444" t="str">
        <f>"Condensing Hot Water Boilers" &amp; IF('General Info &amp; Test Results'!$C$49="Condensing",""," - NOT REQUIRED FOR THIS TEST")</f>
        <v>Condensing Hot Water Boilers - NOT REQUIRED FOR THIS TEST</v>
      </c>
      <c r="C152" s="1445"/>
      <c r="D152" s="1445"/>
      <c r="E152" s="1446"/>
      <c r="F152" s="1126"/>
      <c r="G152" s="1126"/>
      <c r="H152" s="1127"/>
      <c r="I152" s="506"/>
      <c r="J152" s="506"/>
      <c r="K152" s="1036"/>
      <c r="L152" s="133"/>
      <c r="M152" s="155"/>
    </row>
    <row r="153" spans="2:13" x14ac:dyDescent="0.4">
      <c r="B153" s="1418" t="s">
        <v>52</v>
      </c>
      <c r="C153" s="1420" t="s">
        <v>943</v>
      </c>
      <c r="D153" s="1421"/>
      <c r="E153" s="1361" t="s">
        <v>892</v>
      </c>
      <c r="F153" s="1361"/>
      <c r="G153" s="1362" t="s">
        <v>35</v>
      </c>
      <c r="H153" s="1422" t="s">
        <v>891</v>
      </c>
      <c r="I153" s="506"/>
      <c r="J153" s="506"/>
      <c r="K153" s="1036"/>
      <c r="L153" s="133"/>
      <c r="M153" s="155"/>
    </row>
    <row r="154" spans="2:13" x14ac:dyDescent="0.4">
      <c r="B154" s="1419"/>
      <c r="C154" s="800" t="s">
        <v>269</v>
      </c>
      <c r="D154" s="800" t="s">
        <v>270</v>
      </c>
      <c r="E154" s="1019" t="s">
        <v>269</v>
      </c>
      <c r="F154" s="1019" t="s">
        <v>270</v>
      </c>
      <c r="G154" s="1362"/>
      <c r="H154" s="1422"/>
      <c r="I154" s="506"/>
      <c r="J154" s="506"/>
      <c r="K154" s="1036"/>
      <c r="L154" s="133"/>
      <c r="M154" s="155"/>
    </row>
    <row r="155" spans="2:13" x14ac:dyDescent="0.4">
      <c r="B155" s="802" t="s">
        <v>894</v>
      </c>
      <c r="C155" s="111"/>
      <c r="D155" s="111"/>
      <c r="E155" s="122" t="str">
        <f>IF('General Info &amp; Test Results'!$C$49&lt;&gt;"Condensing","",120-10)</f>
        <v/>
      </c>
      <c r="F155" s="122" t="str">
        <f>IF('General Info &amp; Test Results'!$C$49&lt;&gt;"Condensing","",120+10)</f>
        <v/>
      </c>
      <c r="G155" s="970" t="s">
        <v>51</v>
      </c>
      <c r="H155" s="471" t="str">
        <f>IF('General Info &amp; Test Results'!$C$49&lt;&gt;"Condensing","N/A",IF(AND(C155&gt;=E155,D155&lt;=F155,C155&lt;=D155),"Yes","No"))</f>
        <v>N/A</v>
      </c>
      <c r="I155" s="506"/>
      <c r="J155" s="506"/>
      <c r="K155" s="1036"/>
      <c r="L155" s="133"/>
      <c r="M155" s="155"/>
    </row>
    <row r="156" spans="2:13" x14ac:dyDescent="0.4">
      <c r="B156" s="806" t="s">
        <v>895</v>
      </c>
      <c r="C156" s="111"/>
      <c r="D156" s="111"/>
      <c r="E156" s="122" t="str">
        <f>IF('General Info &amp; Test Results'!$C$49&lt;&gt;"Condensing","",120-5)</f>
        <v/>
      </c>
      <c r="F156" s="122" t="str">
        <f>IF('General Info &amp; Test Results'!$C$49&lt;&gt;"Condensing","",120+5)</f>
        <v/>
      </c>
      <c r="G156" s="970" t="s">
        <v>51</v>
      </c>
      <c r="H156" s="471" t="str">
        <f>IF('General Info &amp; Test Results'!$C$49&lt;&gt;"Condensing","N/A",IF(AND(C156&gt;=E156,D156&lt;=F156,C156&lt;=D156),"Yes","No"))</f>
        <v>N/A</v>
      </c>
      <c r="I156" s="506"/>
      <c r="J156" s="506"/>
      <c r="K156" s="1036"/>
      <c r="L156" s="133"/>
      <c r="M156" s="155"/>
    </row>
    <row r="157" spans="2:13" ht="16" thickBot="1" x14ac:dyDescent="0.45">
      <c r="B157" s="824" t="s">
        <v>896</v>
      </c>
      <c r="C157" s="121"/>
      <c r="D157" s="121"/>
      <c r="E157" s="123" t="str">
        <f>IF('General Info &amp; Test Results'!$C$49&lt;&gt;"Condensing","",120-2)</f>
        <v/>
      </c>
      <c r="F157" s="123" t="str">
        <f>IF('General Info &amp; Test Results'!$C$49&lt;&gt;"Condensing","",120+2)</f>
        <v/>
      </c>
      <c r="G157" s="1064" t="s">
        <v>51</v>
      </c>
      <c r="H157" s="825" t="str">
        <f>IF('General Info &amp; Test Results'!$C$49&lt;&gt;"Condensing","N/A",IF(AND(C157&gt;=E157,D157&lt;=F157,C157&lt;=D157),"Yes","No"))</f>
        <v>N/A</v>
      </c>
      <c r="I157" s="1050"/>
      <c r="J157" s="1050"/>
      <c r="K157" s="1051"/>
      <c r="L157" s="133"/>
      <c r="M157" s="155"/>
    </row>
    <row r="158" spans="2:13" ht="16" thickBot="1" x14ac:dyDescent="0.45">
      <c r="B158" s="283" t="str">
        <f>"End: Heat-Up Test" &amp; IF('General Info &amp; Test Results'!$C$37="Electricity"," - NOT REQUIRED FOR THIS TEST","")</f>
        <v>End: Heat-Up Test</v>
      </c>
      <c r="C158" s="284"/>
      <c r="D158" s="285"/>
      <c r="E158" s="967"/>
      <c r="F158" s="967"/>
      <c r="G158" s="967"/>
      <c r="H158" s="967"/>
      <c r="I158" s="967"/>
      <c r="J158" s="967"/>
      <c r="K158" s="286"/>
      <c r="L158" s="133"/>
      <c r="M158" s="155"/>
    </row>
    <row r="159" spans="2:13" x14ac:dyDescent="0.4">
      <c r="B159" s="290"/>
      <c r="C159" s="291"/>
      <c r="D159" s="278"/>
      <c r="E159" s="278"/>
      <c r="F159" s="133"/>
      <c r="G159" s="133"/>
      <c r="H159" s="133"/>
      <c r="I159" s="133"/>
      <c r="J159" s="133"/>
      <c r="K159" s="133"/>
      <c r="L159" s="133"/>
      <c r="M159" s="155"/>
    </row>
    <row r="160" spans="2:13" ht="16" thickBot="1" x14ac:dyDescent="0.45">
      <c r="B160" s="290"/>
      <c r="C160" s="291"/>
      <c r="D160" s="278"/>
      <c r="E160" s="278"/>
      <c r="F160" s="133"/>
      <c r="G160" s="133"/>
      <c r="H160" s="133"/>
      <c r="I160" s="133"/>
      <c r="J160" s="133"/>
      <c r="K160" s="133"/>
      <c r="L160" s="133"/>
      <c r="M160" s="155"/>
    </row>
    <row r="161" spans="2:13" ht="33" customHeight="1" thickBot="1" x14ac:dyDescent="0.45">
      <c r="B161" s="1409" t="str">
        <f>"ASHRAE 103-1993, Section 9.7: Optional Tracer Gas Test Procedures for Determining Draft Factors for D_P, D_F, and D_S for Systems Equipped with Power Burners or Direct Vent and Not Equipped with Stack Dampers" &amp;
IF(OR(
'General Info &amp; Test Results'!$C$37="Electricity",
'General Info &amp; Test Results'!$C$45="Yes",
'General Info &amp; Test Results'!$C$50="Step Modulating",
AND('General Info &amp; Test Results'!$C$40&lt;&gt;"Power",'General Info &amp; Test Results'!C48="No")),
" - NOT AN OPTION FOR THIS TEST","")</f>
        <v>ASHRAE 103-1993, Section 9.7: Optional Tracer Gas Test Procedures for Determining Draft Factors for D_P, D_F, and D_S for Systems Equipped with Power Burners or Direct Vent and Not Equipped with Stack Dampers</v>
      </c>
      <c r="C161" s="1410"/>
      <c r="D161" s="1410"/>
      <c r="E161" s="1410"/>
      <c r="F161" s="1410"/>
      <c r="G161" s="1410"/>
      <c r="H161" s="1410"/>
      <c r="I161" s="1410"/>
      <c r="J161" s="1410"/>
      <c r="K161" s="1411"/>
      <c r="L161" s="133"/>
      <c r="M161" s="155"/>
    </row>
    <row r="162" spans="2:13" x14ac:dyDescent="0.4">
      <c r="B162" s="789" t="s">
        <v>52</v>
      </c>
      <c r="C162" s="277" t="s">
        <v>34</v>
      </c>
      <c r="D162" s="269" t="s">
        <v>35</v>
      </c>
      <c r="E162" s="269" t="s">
        <v>33</v>
      </c>
      <c r="F162" s="1133"/>
      <c r="G162" s="1134"/>
      <c r="H162" s="1134"/>
      <c r="I162" s="1134"/>
      <c r="J162" s="1134"/>
      <c r="K162" s="1135"/>
      <c r="M162" s="144"/>
    </row>
    <row r="163" spans="2:13" ht="16" thickBot="1" x14ac:dyDescent="0.45">
      <c r="B163" s="871" t="s">
        <v>548</v>
      </c>
      <c r="C163" s="121"/>
      <c r="D163" s="829" t="s">
        <v>178</v>
      </c>
      <c r="E163" s="1123" t="s">
        <v>178</v>
      </c>
      <c r="F163" s="1069"/>
      <c r="G163" s="1063"/>
      <c r="H163" s="1063"/>
      <c r="I163" s="1063"/>
      <c r="J163" s="1063"/>
      <c r="K163" s="988"/>
      <c r="M163" s="144"/>
    </row>
    <row r="164" spans="2:13" ht="16" thickBot="1" x14ac:dyDescent="0.45">
      <c r="B164" s="826"/>
      <c r="C164" s="814"/>
      <c r="D164" s="814"/>
      <c r="E164" s="814"/>
      <c r="F164" s="814"/>
      <c r="G164" s="971"/>
      <c r="H164" s="971"/>
      <c r="I164" s="971"/>
      <c r="J164" s="971"/>
      <c r="K164" s="989"/>
      <c r="M164" s="144"/>
    </row>
    <row r="165" spans="2:13" ht="103.5" customHeight="1" x14ac:dyDescent="0.4">
      <c r="B165" s="1435" t="s">
        <v>905</v>
      </c>
      <c r="C165" s="1436"/>
      <c r="D165" s="1436"/>
      <c r="E165" s="1436"/>
      <c r="F165" s="1436"/>
      <c r="G165" s="1436"/>
      <c r="H165" s="1436"/>
      <c r="I165" s="1436"/>
      <c r="J165" s="1436"/>
      <c r="K165" s="1437"/>
      <c r="M165" s="144"/>
    </row>
    <row r="166" spans="2:13" x14ac:dyDescent="0.4">
      <c r="B166" s="1102" t="s">
        <v>52</v>
      </c>
      <c r="C166" s="1099" t="s">
        <v>34</v>
      </c>
      <c r="D166" s="1100" t="s">
        <v>35</v>
      </c>
      <c r="E166" s="1100" t="s">
        <v>33</v>
      </c>
      <c r="F166" s="950"/>
      <c r="G166" s="971"/>
      <c r="H166" s="971"/>
      <c r="I166" s="971"/>
      <c r="J166" s="971"/>
      <c r="K166" s="989"/>
      <c r="M166" s="144"/>
    </row>
    <row r="167" spans="2:13" ht="17" thickBot="1" x14ac:dyDescent="0.45">
      <c r="B167" s="828" t="s">
        <v>252</v>
      </c>
      <c r="C167" s="121"/>
      <c r="D167" s="829" t="s">
        <v>255</v>
      </c>
      <c r="E167" s="1038" t="s">
        <v>717</v>
      </c>
      <c r="F167" s="1069"/>
      <c r="G167" s="1063"/>
      <c r="H167" s="1063"/>
      <c r="I167" s="1063"/>
      <c r="J167" s="1063"/>
      <c r="K167" s="988"/>
      <c r="M167" s="144"/>
    </row>
    <row r="168" spans="2:13" ht="16" thickBot="1" x14ac:dyDescent="0.45">
      <c r="B168" s="830"/>
      <c r="C168" s="436"/>
      <c r="D168" s="436"/>
      <c r="E168" s="1065"/>
      <c r="F168" s="335"/>
      <c r="G168" s="971"/>
      <c r="H168" s="971"/>
      <c r="I168" s="971"/>
      <c r="J168" s="971"/>
      <c r="K168" s="989"/>
      <c r="M168" s="144"/>
    </row>
    <row r="169" spans="2:13" ht="54.75" customHeight="1" x14ac:dyDescent="0.4">
      <c r="B169" s="1328" t="s">
        <v>908</v>
      </c>
      <c r="C169" s="1329"/>
      <c r="D169" s="1329"/>
      <c r="E169" s="1329"/>
      <c r="F169" s="1329"/>
      <c r="G169" s="1329"/>
      <c r="H169" s="1329"/>
      <c r="I169" s="1329"/>
      <c r="J169" s="1329"/>
      <c r="K169" s="1330"/>
      <c r="M169" s="144"/>
    </row>
    <row r="170" spans="2:13" x14ac:dyDescent="0.4">
      <c r="B170" s="1102" t="s">
        <v>52</v>
      </c>
      <c r="C170" s="1099" t="s">
        <v>34</v>
      </c>
      <c r="D170" s="1100" t="s">
        <v>35</v>
      </c>
      <c r="E170" s="1100" t="s">
        <v>33</v>
      </c>
      <c r="F170" s="950"/>
      <c r="G170" s="971"/>
      <c r="H170" s="971"/>
      <c r="I170" s="971"/>
      <c r="J170" s="971"/>
      <c r="K170" s="989"/>
      <c r="M170" s="144"/>
    </row>
    <row r="171" spans="2:13" ht="16.5" x14ac:dyDescent="0.4">
      <c r="B171" s="330" t="s">
        <v>251</v>
      </c>
      <c r="C171" s="111"/>
      <c r="D171" s="271" t="s">
        <v>218</v>
      </c>
      <c r="E171" s="975" t="s">
        <v>718</v>
      </c>
      <c r="F171" s="951"/>
      <c r="G171" s="971"/>
      <c r="H171" s="971"/>
      <c r="I171" s="971"/>
      <c r="J171" s="971"/>
      <c r="K171" s="989"/>
      <c r="M171" s="144"/>
    </row>
    <row r="172" spans="2:13" ht="16.5" x14ac:dyDescent="0.4">
      <c r="B172" s="330" t="s">
        <v>250</v>
      </c>
      <c r="C172" s="111"/>
      <c r="D172" s="579" t="s">
        <v>218</v>
      </c>
      <c r="E172" s="975" t="s">
        <v>723</v>
      </c>
      <c r="F172" s="951"/>
      <c r="G172" s="971"/>
      <c r="H172" s="971"/>
      <c r="I172" s="971"/>
      <c r="J172" s="971"/>
      <c r="K172" s="989"/>
      <c r="M172" s="144"/>
    </row>
    <row r="173" spans="2:13" ht="16.5" x14ac:dyDescent="0.4">
      <c r="B173" s="330" t="s">
        <v>414</v>
      </c>
      <c r="C173" s="111"/>
      <c r="D173" s="271" t="s">
        <v>51</v>
      </c>
      <c r="E173" s="975" t="s">
        <v>719</v>
      </c>
      <c r="F173" s="951"/>
      <c r="G173" s="971"/>
      <c r="H173" s="971"/>
      <c r="I173" s="971"/>
      <c r="J173" s="971"/>
      <c r="K173" s="989"/>
      <c r="M173" s="144"/>
    </row>
    <row r="174" spans="2:13" ht="16.5" x14ac:dyDescent="0.4">
      <c r="B174" s="330" t="s">
        <v>415</v>
      </c>
      <c r="C174" s="111"/>
      <c r="D174" s="271" t="s">
        <v>416</v>
      </c>
      <c r="E174" s="975" t="s">
        <v>720</v>
      </c>
      <c r="F174" s="951"/>
      <c r="G174" s="971"/>
      <c r="H174" s="971"/>
      <c r="I174" s="971"/>
      <c r="J174" s="971"/>
      <c r="K174" s="989"/>
      <c r="M174" s="144"/>
    </row>
    <row r="175" spans="2:13" ht="18" thickBot="1" x14ac:dyDescent="0.45">
      <c r="B175" s="828" t="s">
        <v>525</v>
      </c>
      <c r="C175" s="822" t="str">
        <f>IF(OR(C173="",C174=""),"",1.325*C174/(C173+460))</f>
        <v/>
      </c>
      <c r="D175" s="829" t="s">
        <v>253</v>
      </c>
      <c r="E175" s="1068" t="s">
        <v>721</v>
      </c>
      <c r="F175" s="1067"/>
      <c r="G175" s="1063"/>
      <c r="H175" s="1063"/>
      <c r="I175" s="1063"/>
      <c r="J175" s="1063"/>
      <c r="K175" s="988"/>
      <c r="M175" s="144"/>
    </row>
    <row r="176" spans="2:13" ht="16" thickBot="1" x14ac:dyDescent="0.45">
      <c r="B176" s="826"/>
      <c r="C176" s="814"/>
      <c r="D176" s="814"/>
      <c r="E176" s="814"/>
      <c r="F176" s="814"/>
      <c r="G176" s="971"/>
      <c r="H176" s="971"/>
      <c r="I176" s="971"/>
      <c r="J176" s="971"/>
      <c r="K176" s="989"/>
      <c r="M176" s="144"/>
    </row>
    <row r="177" spans="2:13" ht="85.5" customHeight="1" x14ac:dyDescent="0.4">
      <c r="B177" s="1328" t="s">
        <v>907</v>
      </c>
      <c r="C177" s="1329"/>
      <c r="D177" s="1329"/>
      <c r="E177" s="1329"/>
      <c r="F177" s="1329"/>
      <c r="G177" s="1329"/>
      <c r="H177" s="1329"/>
      <c r="I177" s="1329"/>
      <c r="J177" s="1329"/>
      <c r="K177" s="1330"/>
      <c r="M177" s="144"/>
    </row>
    <row r="178" spans="2:13" x14ac:dyDescent="0.4">
      <c r="B178" s="1102" t="s">
        <v>52</v>
      </c>
      <c r="C178" s="1099" t="s">
        <v>34</v>
      </c>
      <c r="D178" s="1100" t="s">
        <v>35</v>
      </c>
      <c r="E178" s="1100" t="s">
        <v>33</v>
      </c>
      <c r="F178" s="951"/>
      <c r="G178" s="971"/>
      <c r="H178" s="971"/>
      <c r="I178" s="971"/>
      <c r="J178" s="971"/>
      <c r="K178" s="989"/>
      <c r="M178" s="144"/>
    </row>
    <row r="179" spans="2:13" ht="17" thickBot="1" x14ac:dyDescent="0.45">
      <c r="B179" s="289" t="s">
        <v>254</v>
      </c>
      <c r="C179" s="121"/>
      <c r="D179" s="276" t="s">
        <v>51</v>
      </c>
      <c r="E179" s="1038" t="s">
        <v>650</v>
      </c>
      <c r="F179" s="1067"/>
      <c r="G179" s="1063"/>
      <c r="H179" s="1063"/>
      <c r="I179" s="1063"/>
      <c r="J179" s="1063"/>
      <c r="K179" s="988"/>
      <c r="M179" s="144"/>
    </row>
    <row r="180" spans="2:13" ht="16" thickBot="1" x14ac:dyDescent="0.45">
      <c r="B180" s="826"/>
      <c r="C180" s="814"/>
      <c r="D180" s="814"/>
      <c r="E180" s="814"/>
      <c r="F180" s="814"/>
      <c r="G180" s="971"/>
      <c r="H180" s="971"/>
      <c r="I180" s="971"/>
      <c r="J180" s="971"/>
      <c r="K180" s="989"/>
      <c r="M180" s="144"/>
    </row>
    <row r="181" spans="2:13" ht="51.75" customHeight="1" thickBot="1" x14ac:dyDescent="0.45">
      <c r="B181" s="1438" t="s">
        <v>906</v>
      </c>
      <c r="C181" s="1439"/>
      <c r="D181" s="1439"/>
      <c r="E181" s="1439"/>
      <c r="F181" s="1439"/>
      <c r="G181" s="1439"/>
      <c r="H181" s="1439"/>
      <c r="I181" s="1439"/>
      <c r="J181" s="1439"/>
      <c r="K181" s="1440"/>
      <c r="M181" s="144"/>
    </row>
    <row r="182" spans="2:13" ht="16" thickBot="1" x14ac:dyDescent="0.45">
      <c r="B182" s="826"/>
      <c r="C182" s="814"/>
      <c r="D182" s="814"/>
      <c r="E182" s="814"/>
      <c r="F182" s="814"/>
      <c r="G182" s="971"/>
      <c r="H182" s="971"/>
      <c r="I182" s="971"/>
      <c r="J182" s="971"/>
      <c r="K182" s="989"/>
      <c r="M182" s="144"/>
    </row>
    <row r="183" spans="2:13" ht="51.75" customHeight="1" thickBot="1" x14ac:dyDescent="0.45">
      <c r="B183" s="1438" t="s">
        <v>909</v>
      </c>
      <c r="C183" s="1439"/>
      <c r="D183" s="1439"/>
      <c r="E183" s="1439"/>
      <c r="F183" s="1439"/>
      <c r="G183" s="1439"/>
      <c r="H183" s="1439"/>
      <c r="I183" s="1439"/>
      <c r="J183" s="1439"/>
      <c r="K183" s="1440"/>
      <c r="M183" s="144"/>
    </row>
    <row r="184" spans="2:13" ht="18" customHeight="1" thickBot="1" x14ac:dyDescent="0.45">
      <c r="B184" s="1488" t="s">
        <v>931</v>
      </c>
      <c r="C184" s="1489"/>
      <c r="D184" s="1489"/>
      <c r="E184" s="1489"/>
      <c r="F184" s="1489"/>
      <c r="G184" s="1489"/>
      <c r="H184" s="1489"/>
      <c r="I184" s="1489"/>
      <c r="J184" s="1489"/>
      <c r="K184" s="1490"/>
      <c r="M184" s="144"/>
    </row>
    <row r="185" spans="2:13" x14ac:dyDescent="0.4">
      <c r="B185" s="138"/>
      <c r="C185" s="138"/>
      <c r="D185" s="138"/>
      <c r="E185" s="138"/>
      <c r="M185" s="144"/>
    </row>
    <row r="186" spans="2:13" ht="16" thickBot="1" x14ac:dyDescent="0.45">
      <c r="B186" s="138"/>
      <c r="C186" s="138"/>
      <c r="D186" s="138"/>
      <c r="E186" s="138"/>
      <c r="M186" s="144"/>
    </row>
    <row r="187" spans="2:13" ht="34.5" customHeight="1" thickBot="1" x14ac:dyDescent="0.45">
      <c r="B187" s="1409" t="str">
        <f>"ASHRAE 103-1993, Section 9.7.6: Tracer Gas Test Procedures for Determining Off-Cycle Loss Factor K_L for Atmospheric Systems" &amp;
" with Integral Draft Diverter or Draft Hood and Equipped with Either an Electro-Mechanical Inlet or Flue Damper That Restricts the Flow Through the Heat Exchanger in the Off-Cycle" &amp;
IF(AND('General Info &amp; Test Results'!$C$40="Atmospheric",'General Info &amp; Test Results'!$C$46="Yes",OR('General Info &amp; Test Results'!$C$43="Draft Hood",'General Info &amp; Test Results'!$C$43="Integral Draft Diverter")),""," - NOT REQUIRED FOR THIS TEST")</f>
        <v>ASHRAE 103-1993, Section 9.7.6: Tracer Gas Test Procedures for Determining Off-Cycle Loss Factor K_L for Atmospheric Systems with Integral Draft Diverter or Draft Hood and Equipped with Either an Electro-Mechanical Inlet or Flue Damper That Restricts the Flow Through the Heat Exchanger in the Off-Cycle - NOT REQUIRED FOR THIS TEST</v>
      </c>
      <c r="C187" s="1410"/>
      <c r="D187" s="1410"/>
      <c r="E187" s="1410"/>
      <c r="F187" s="1410"/>
      <c r="G187" s="1410"/>
      <c r="H187" s="1410"/>
      <c r="I187" s="1410"/>
      <c r="J187" s="1410"/>
      <c r="K187" s="1411"/>
      <c r="M187" s="144"/>
    </row>
    <row r="188" spans="2:13" ht="53.25" customHeight="1" x14ac:dyDescent="0.4">
      <c r="B188" s="1423" t="s">
        <v>910</v>
      </c>
      <c r="C188" s="1424"/>
      <c r="D188" s="1424"/>
      <c r="E188" s="1424"/>
      <c r="F188" s="1424"/>
      <c r="G188" s="1424"/>
      <c r="H188" s="1424"/>
      <c r="I188" s="1424"/>
      <c r="J188" s="1424"/>
      <c r="K188" s="1425"/>
      <c r="M188" s="144"/>
    </row>
    <row r="189" spans="2:13" ht="35.25" customHeight="1" x14ac:dyDescent="0.4">
      <c r="B189" s="1102" t="s">
        <v>52</v>
      </c>
      <c r="C189" s="1072" t="s">
        <v>938</v>
      </c>
      <c r="D189" s="1072" t="s">
        <v>937</v>
      </c>
      <c r="E189" s="1100" t="s">
        <v>35</v>
      </c>
      <c r="F189" s="1100" t="s">
        <v>33</v>
      </c>
      <c r="G189" s="971"/>
      <c r="H189" s="971"/>
      <c r="I189" s="971"/>
      <c r="J189" s="971"/>
      <c r="K189" s="989"/>
      <c r="M189" s="144"/>
    </row>
    <row r="190" spans="2:13" ht="16.5" x14ac:dyDescent="0.4">
      <c r="B190" s="330" t="s">
        <v>251</v>
      </c>
      <c r="C190" s="111"/>
      <c r="D190" s="111"/>
      <c r="E190" s="271" t="s">
        <v>218</v>
      </c>
      <c r="F190" s="975" t="s">
        <v>718</v>
      </c>
      <c r="G190" s="971"/>
      <c r="H190" s="971"/>
      <c r="I190" s="971"/>
      <c r="J190" s="971"/>
      <c r="K190" s="989"/>
      <c r="M190" s="144"/>
    </row>
    <row r="191" spans="2:13" ht="16.5" x14ac:dyDescent="0.4">
      <c r="B191" s="330" t="s">
        <v>414</v>
      </c>
      <c r="C191" s="111"/>
      <c r="D191" s="111"/>
      <c r="E191" s="271" t="s">
        <v>51</v>
      </c>
      <c r="F191" s="975" t="s">
        <v>719</v>
      </c>
      <c r="G191" s="971"/>
      <c r="H191" s="971"/>
      <c r="I191" s="971"/>
      <c r="J191" s="971"/>
      <c r="K191" s="989"/>
      <c r="M191" s="144"/>
    </row>
    <row r="192" spans="2:13" ht="16.5" x14ac:dyDescent="0.4">
      <c r="B192" s="330" t="s">
        <v>415</v>
      </c>
      <c r="C192" s="111"/>
      <c r="D192" s="111"/>
      <c r="E192" s="271" t="s">
        <v>416</v>
      </c>
      <c r="F192" s="975" t="s">
        <v>720</v>
      </c>
      <c r="G192" s="971"/>
      <c r="H192" s="971"/>
      <c r="I192" s="971"/>
      <c r="J192" s="971"/>
      <c r="K192" s="989"/>
      <c r="M192" s="144"/>
    </row>
    <row r="193" spans="2:13" ht="18" thickBot="1" x14ac:dyDescent="0.45">
      <c r="B193" s="828" t="s">
        <v>525</v>
      </c>
      <c r="C193" s="822" t="str">
        <f>IF(OR(C191="",C192=""),"",1.325*C192/(C191+460))</f>
        <v/>
      </c>
      <c r="D193" s="822" t="str">
        <f>IF(OR(D191="",D192=""),"",1.325*D192/(D191+460))</f>
        <v/>
      </c>
      <c r="E193" s="829" t="s">
        <v>253</v>
      </c>
      <c r="F193" s="1068" t="s">
        <v>721</v>
      </c>
      <c r="G193" s="1063"/>
      <c r="H193" s="1063"/>
      <c r="I193" s="1063"/>
      <c r="J193" s="1063"/>
      <c r="K193" s="988"/>
      <c r="M193" s="144"/>
    </row>
    <row r="194" spans="2:13" ht="16" thickBot="1" x14ac:dyDescent="0.45">
      <c r="B194" s="446"/>
      <c r="C194" s="444"/>
      <c r="D194" s="444"/>
      <c r="E194" s="444"/>
      <c r="F194" s="444"/>
      <c r="G194" s="971"/>
      <c r="H194" s="971"/>
      <c r="I194" s="971"/>
      <c r="J194" s="971"/>
      <c r="K194" s="989"/>
      <c r="M194" s="144"/>
    </row>
    <row r="195" spans="2:13" ht="51" customHeight="1" x14ac:dyDescent="0.4">
      <c r="B195" s="1423" t="s">
        <v>911</v>
      </c>
      <c r="C195" s="1424"/>
      <c r="D195" s="1424"/>
      <c r="E195" s="1424"/>
      <c r="F195" s="1424"/>
      <c r="G195" s="1424"/>
      <c r="H195" s="1424"/>
      <c r="I195" s="1424"/>
      <c r="J195" s="1424"/>
      <c r="K195" s="1425"/>
      <c r="M195" s="144"/>
    </row>
    <row r="196" spans="2:13" ht="46.5" x14ac:dyDescent="0.4">
      <c r="B196" s="1102" t="s">
        <v>52</v>
      </c>
      <c r="C196" s="1072" t="s">
        <v>938</v>
      </c>
      <c r="D196" s="1072" t="s">
        <v>937</v>
      </c>
      <c r="E196" s="1100" t="s">
        <v>35</v>
      </c>
      <c r="F196" s="1100" t="s">
        <v>33</v>
      </c>
      <c r="G196" s="971"/>
      <c r="H196" s="971"/>
      <c r="I196" s="971"/>
      <c r="J196" s="971"/>
      <c r="K196" s="989"/>
      <c r="M196" s="144"/>
    </row>
    <row r="197" spans="2:13" ht="17" thickBot="1" x14ac:dyDescent="0.45">
      <c r="B197" s="821" t="s">
        <v>858</v>
      </c>
      <c r="C197" s="121"/>
      <c r="D197" s="121"/>
      <c r="E197" s="823" t="s">
        <v>218</v>
      </c>
      <c r="F197" s="1057" t="s">
        <v>722</v>
      </c>
      <c r="G197" s="1063"/>
      <c r="H197" s="1063"/>
      <c r="I197" s="1063"/>
      <c r="J197" s="1063"/>
      <c r="K197" s="988"/>
      <c r="M197" s="144"/>
    </row>
    <row r="198" spans="2:13" ht="16" thickBot="1" x14ac:dyDescent="0.45">
      <c r="B198" s="446"/>
      <c r="C198" s="444"/>
      <c r="D198" s="444"/>
      <c r="E198" s="444"/>
      <c r="F198" s="444"/>
      <c r="G198" s="971"/>
      <c r="H198" s="971"/>
      <c r="I198" s="971"/>
      <c r="J198" s="971"/>
      <c r="K198" s="989"/>
      <c r="M198" s="144"/>
    </row>
    <row r="199" spans="2:13" ht="68.25" customHeight="1" x14ac:dyDescent="0.4">
      <c r="B199" s="1423" t="s">
        <v>912</v>
      </c>
      <c r="C199" s="1424"/>
      <c r="D199" s="1424"/>
      <c r="E199" s="1424"/>
      <c r="F199" s="1424"/>
      <c r="G199" s="1424"/>
      <c r="H199" s="1424"/>
      <c r="I199" s="1424"/>
      <c r="J199" s="1424"/>
      <c r="K199" s="1425"/>
      <c r="M199" s="144"/>
    </row>
    <row r="200" spans="2:13" ht="46.5" x14ac:dyDescent="0.4">
      <c r="B200" s="1102" t="s">
        <v>52</v>
      </c>
      <c r="C200" s="1072" t="s">
        <v>938</v>
      </c>
      <c r="D200" s="1072" t="s">
        <v>937</v>
      </c>
      <c r="E200" s="1100" t="s">
        <v>35</v>
      </c>
      <c r="F200" s="1100" t="s">
        <v>33</v>
      </c>
      <c r="G200" s="971"/>
      <c r="H200" s="971"/>
      <c r="I200" s="971"/>
      <c r="J200" s="971"/>
      <c r="K200" s="989"/>
      <c r="M200" s="144"/>
    </row>
    <row r="201" spans="2:13" ht="16.5" x14ac:dyDescent="0.4">
      <c r="B201" s="330" t="s">
        <v>250</v>
      </c>
      <c r="C201" s="111"/>
      <c r="D201" s="111"/>
      <c r="E201" s="271" t="s">
        <v>218</v>
      </c>
      <c r="F201" s="975" t="s">
        <v>723</v>
      </c>
      <c r="G201" s="971"/>
      <c r="H201" s="971"/>
      <c r="I201" s="971"/>
      <c r="J201" s="971"/>
      <c r="K201" s="989"/>
      <c r="M201" s="144"/>
    </row>
    <row r="202" spans="2:13" ht="17" thickBot="1" x14ac:dyDescent="0.45">
      <c r="B202" s="828" t="s">
        <v>252</v>
      </c>
      <c r="C202" s="121"/>
      <c r="D202" s="121"/>
      <c r="E202" s="829" t="s">
        <v>255</v>
      </c>
      <c r="F202" s="1038" t="s">
        <v>717</v>
      </c>
      <c r="G202" s="1063"/>
      <c r="H202" s="1063"/>
      <c r="I202" s="1063"/>
      <c r="J202" s="1063"/>
      <c r="K202" s="988"/>
      <c r="M202" s="144"/>
    </row>
    <row r="203" spans="2:13" ht="16" thickBot="1" x14ac:dyDescent="0.45">
      <c r="B203" s="446"/>
      <c r="C203" s="444"/>
      <c r="D203" s="444"/>
      <c r="E203" s="444"/>
      <c r="F203" s="444"/>
      <c r="G203" s="971"/>
      <c r="H203" s="971"/>
      <c r="I203" s="971"/>
      <c r="J203" s="971"/>
      <c r="K203" s="989"/>
      <c r="M203" s="144"/>
    </row>
    <row r="204" spans="2:13" ht="66.75" customHeight="1" x14ac:dyDescent="0.4">
      <c r="B204" s="1423" t="s">
        <v>913</v>
      </c>
      <c r="C204" s="1424"/>
      <c r="D204" s="1424"/>
      <c r="E204" s="1424"/>
      <c r="F204" s="1424"/>
      <c r="G204" s="1424"/>
      <c r="H204" s="1424"/>
      <c r="I204" s="1424"/>
      <c r="J204" s="1424"/>
      <c r="K204" s="1425"/>
      <c r="M204" s="144"/>
    </row>
    <row r="205" spans="2:13" ht="84.75" customHeight="1" x14ac:dyDescent="0.4">
      <c r="B205" s="1426" t="s">
        <v>914</v>
      </c>
      <c r="C205" s="1427"/>
      <c r="D205" s="1427"/>
      <c r="E205" s="1427"/>
      <c r="F205" s="1427"/>
      <c r="G205" s="1427"/>
      <c r="H205" s="1427"/>
      <c r="I205" s="1427"/>
      <c r="J205" s="1427"/>
      <c r="K205" s="1428"/>
      <c r="M205" s="144"/>
    </row>
    <row r="206" spans="2:13" ht="46.5" x14ac:dyDescent="0.4">
      <c r="B206" s="1102" t="s">
        <v>52</v>
      </c>
      <c r="C206" s="1072" t="s">
        <v>938</v>
      </c>
      <c r="D206" s="1072" t="s">
        <v>937</v>
      </c>
      <c r="E206" s="1100" t="s">
        <v>35</v>
      </c>
      <c r="F206" s="1100" t="s">
        <v>33</v>
      </c>
      <c r="G206" s="971"/>
      <c r="H206" s="971"/>
      <c r="I206" s="971"/>
      <c r="J206" s="971"/>
      <c r="K206" s="989"/>
      <c r="M206" s="144"/>
    </row>
    <row r="207" spans="2:13" ht="17" thickBot="1" x14ac:dyDescent="0.45">
      <c r="B207" s="289" t="s">
        <v>861</v>
      </c>
      <c r="C207" s="121"/>
      <c r="D207" s="121"/>
      <c r="E207" s="276" t="s">
        <v>51</v>
      </c>
      <c r="F207" s="1038" t="s">
        <v>724</v>
      </c>
      <c r="G207" s="1063"/>
      <c r="H207" s="1063"/>
      <c r="I207" s="1063"/>
      <c r="J207" s="1063"/>
      <c r="K207" s="988"/>
      <c r="M207" s="144"/>
    </row>
    <row r="208" spans="2:13" ht="16" thickBot="1" x14ac:dyDescent="0.45">
      <c r="B208" s="446"/>
      <c r="C208" s="444"/>
      <c r="D208" s="444"/>
      <c r="E208" s="444"/>
      <c r="F208" s="444"/>
      <c r="G208" s="971"/>
      <c r="H208" s="971"/>
      <c r="I208" s="971"/>
      <c r="J208" s="971"/>
      <c r="K208" s="989"/>
      <c r="M208" s="144"/>
    </row>
    <row r="209" spans="2:13" ht="86.25" customHeight="1" x14ac:dyDescent="0.4">
      <c r="B209" s="1423" t="s">
        <v>915</v>
      </c>
      <c r="C209" s="1424"/>
      <c r="D209" s="1424"/>
      <c r="E209" s="1424"/>
      <c r="F209" s="1424"/>
      <c r="G209" s="1424"/>
      <c r="H209" s="1424"/>
      <c r="I209" s="1424"/>
      <c r="J209" s="1424"/>
      <c r="K209" s="1425"/>
      <c r="M209" s="144"/>
    </row>
    <row r="210" spans="2:13" ht="46.5" x14ac:dyDescent="0.4">
      <c r="B210" s="1102" t="s">
        <v>52</v>
      </c>
      <c r="C210" s="1072" t="s">
        <v>938</v>
      </c>
      <c r="D210" s="1072" t="s">
        <v>937</v>
      </c>
      <c r="E210" s="1100" t="s">
        <v>35</v>
      </c>
      <c r="F210" s="1100" t="s">
        <v>33</v>
      </c>
      <c r="G210" s="971"/>
      <c r="H210" s="971"/>
      <c r="I210" s="971"/>
      <c r="J210" s="971"/>
      <c r="K210" s="989"/>
      <c r="M210" s="144"/>
    </row>
    <row r="211" spans="2:13" ht="17" thickBot="1" x14ac:dyDescent="0.45">
      <c r="B211" s="580" t="s">
        <v>860</v>
      </c>
      <c r="C211" s="121"/>
      <c r="D211" s="121"/>
      <c r="E211" s="581" t="s">
        <v>80</v>
      </c>
      <c r="F211" s="1057" t="s">
        <v>725</v>
      </c>
      <c r="G211" s="1063"/>
      <c r="H211" s="1063"/>
      <c r="I211" s="1063"/>
      <c r="J211" s="1063"/>
      <c r="K211" s="988"/>
      <c r="M211" s="144"/>
    </row>
    <row r="212" spans="2:13" ht="18" customHeight="1" thickBot="1" x14ac:dyDescent="0.45">
      <c r="B212" s="1409" t="s">
        <v>932</v>
      </c>
      <c r="C212" s="1410"/>
      <c r="D212" s="1410"/>
      <c r="E212" s="1410"/>
      <c r="F212" s="1410"/>
      <c r="G212" s="1410"/>
      <c r="H212" s="1410"/>
      <c r="I212" s="1410"/>
      <c r="J212" s="1410"/>
      <c r="K212" s="1411"/>
      <c r="M212" s="144"/>
    </row>
    <row r="213" spans="2:13" x14ac:dyDescent="0.4">
      <c r="B213" s="138"/>
      <c r="C213" s="138"/>
      <c r="D213" s="138"/>
      <c r="E213" s="138"/>
      <c r="F213" s="138"/>
      <c r="M213" s="144"/>
    </row>
    <row r="214" spans="2:13" ht="16" thickBot="1" x14ac:dyDescent="0.45">
      <c r="B214" s="138"/>
      <c r="C214" s="138"/>
      <c r="D214" s="138"/>
      <c r="E214" s="138"/>
      <c r="M214" s="144"/>
    </row>
    <row r="215" spans="2:13" ht="16" thickBot="1" x14ac:dyDescent="0.45">
      <c r="B215" s="1409" t="str">
        <f>"ASHRAE 103-1993, Section 9.8: Condensing Furnaces and Boilers-Measurement of Condensate Heat Loss Under Cyclic Conditions" &amp;
IF('General Info &amp; Test Results'!$C$50="Single Stage"," - NOT REQUIRED FOR THIS TEST","")</f>
        <v>ASHRAE 103-1993, Section 9.8: Condensing Furnaces and Boilers-Measurement of Condensate Heat Loss Under Cyclic Conditions</v>
      </c>
      <c r="C215" s="1410"/>
      <c r="D215" s="1410"/>
      <c r="E215" s="1410"/>
      <c r="F215" s="1410"/>
      <c r="G215" s="1410"/>
      <c r="H215" s="1410"/>
      <c r="I215" s="1410"/>
      <c r="J215" s="1410"/>
      <c r="K215" s="1411"/>
      <c r="M215" s="144"/>
    </row>
    <row r="216" spans="2:13" x14ac:dyDescent="0.4">
      <c r="B216" s="1499" t="s">
        <v>961</v>
      </c>
      <c r="C216" s="1500"/>
      <c r="D216" s="1500"/>
      <c r="E216" s="1500"/>
      <c r="F216" s="1500"/>
      <c r="G216" s="1500"/>
      <c r="H216" s="1500"/>
      <c r="I216" s="1500"/>
      <c r="J216" s="1500"/>
      <c r="K216" s="1501"/>
      <c r="M216" s="144"/>
    </row>
    <row r="217" spans="2:13" ht="32.25" customHeight="1" x14ac:dyDescent="0.4">
      <c r="B217" s="1415" t="s">
        <v>962</v>
      </c>
      <c r="C217" s="1416"/>
      <c r="D217" s="1416"/>
      <c r="E217" s="1416"/>
      <c r="F217" s="1416"/>
      <c r="G217" s="1416"/>
      <c r="H217" s="1416"/>
      <c r="I217" s="1416"/>
      <c r="J217" s="1416"/>
      <c r="K217" s="1417"/>
      <c r="M217" s="144"/>
    </row>
    <row r="218" spans="2:13" ht="52.5" customHeight="1" x14ac:dyDescent="0.4">
      <c r="B218" s="1415" t="s">
        <v>963</v>
      </c>
      <c r="C218" s="1416"/>
      <c r="D218" s="1416"/>
      <c r="E218" s="1416"/>
      <c r="F218" s="1416"/>
      <c r="G218" s="1416"/>
      <c r="H218" s="1416"/>
      <c r="I218" s="1416"/>
      <c r="J218" s="1416"/>
      <c r="K218" s="1417"/>
      <c r="M218" s="144"/>
    </row>
    <row r="219" spans="2:13" ht="67.5" customHeight="1" x14ac:dyDescent="0.4">
      <c r="B219" s="1415" t="s">
        <v>964</v>
      </c>
      <c r="C219" s="1416"/>
      <c r="D219" s="1416"/>
      <c r="E219" s="1416"/>
      <c r="F219" s="1416"/>
      <c r="G219" s="1416"/>
      <c r="H219" s="1416"/>
      <c r="I219" s="1416"/>
      <c r="J219" s="1416"/>
      <c r="K219" s="1417"/>
      <c r="M219" s="144"/>
    </row>
    <row r="220" spans="2:13" ht="34.5" customHeight="1" x14ac:dyDescent="0.4">
      <c r="B220" s="1415" t="s">
        <v>965</v>
      </c>
      <c r="C220" s="1416"/>
      <c r="D220" s="1416"/>
      <c r="E220" s="1416"/>
      <c r="F220" s="1416"/>
      <c r="G220" s="1416"/>
      <c r="H220" s="1416"/>
      <c r="I220" s="1416"/>
      <c r="J220" s="1416"/>
      <c r="K220" s="1417"/>
      <c r="M220" s="144"/>
    </row>
    <row r="221" spans="2:13" ht="72" customHeight="1" x14ac:dyDescent="0.4">
      <c r="B221" s="1415" t="s">
        <v>966</v>
      </c>
      <c r="C221" s="1416"/>
      <c r="D221" s="1416"/>
      <c r="E221" s="1416"/>
      <c r="F221" s="1416"/>
      <c r="G221" s="1416"/>
      <c r="H221" s="1416"/>
      <c r="I221" s="1416"/>
      <c r="J221" s="1416"/>
      <c r="K221" s="1417"/>
      <c r="M221" s="144"/>
    </row>
    <row r="222" spans="2:13" x14ac:dyDescent="0.4">
      <c r="B222" s="446"/>
      <c r="C222" s="444"/>
      <c r="D222" s="444"/>
      <c r="E222" s="444"/>
      <c r="F222" s="971"/>
      <c r="G222" s="971"/>
      <c r="H222" s="971"/>
      <c r="I222" s="971"/>
      <c r="J222" s="971"/>
      <c r="K222" s="989"/>
      <c r="M222" s="144"/>
    </row>
    <row r="223" spans="2:13" x14ac:dyDescent="0.4">
      <c r="B223" s="1102" t="s">
        <v>52</v>
      </c>
      <c r="C223" s="1099" t="s">
        <v>34</v>
      </c>
      <c r="D223" s="1100" t="s">
        <v>35</v>
      </c>
      <c r="E223" s="1100" t="s">
        <v>33</v>
      </c>
      <c r="F223" s="971"/>
      <c r="G223" s="971"/>
      <c r="H223" s="971"/>
      <c r="I223" s="971"/>
      <c r="J223" s="971"/>
      <c r="K223" s="989"/>
      <c r="M223" s="144"/>
    </row>
    <row r="224" spans="2:13" x14ac:dyDescent="0.4">
      <c r="B224" s="260" t="s">
        <v>180</v>
      </c>
      <c r="C224" s="189"/>
      <c r="D224" s="287" t="s">
        <v>218</v>
      </c>
      <c r="E224" s="1035" t="s">
        <v>178</v>
      </c>
      <c r="F224" s="971"/>
      <c r="G224" s="971"/>
      <c r="H224" s="971"/>
      <c r="I224" s="971"/>
      <c r="J224" s="971"/>
      <c r="K224" s="989"/>
      <c r="M224" s="144"/>
    </row>
    <row r="225" spans="2:13" x14ac:dyDescent="0.4">
      <c r="B225" s="260" t="s">
        <v>79</v>
      </c>
      <c r="C225" s="122" t="str">
        <f>IF(C224="","",IF(C224&gt;80, "No","Yes"))</f>
        <v/>
      </c>
      <c r="D225" s="272" t="s">
        <v>178</v>
      </c>
      <c r="E225" s="975" t="s">
        <v>178</v>
      </c>
      <c r="F225" s="506"/>
      <c r="G225" s="506"/>
      <c r="H225" s="506"/>
      <c r="I225" s="506"/>
      <c r="J225" s="506"/>
      <c r="K225" s="1036"/>
      <c r="L225" s="133"/>
      <c r="M225" s="144"/>
    </row>
    <row r="226" spans="2:13" x14ac:dyDescent="0.4">
      <c r="B226" s="260" t="s">
        <v>91</v>
      </c>
      <c r="C226" s="111"/>
      <c r="D226" s="271" t="s">
        <v>51</v>
      </c>
      <c r="E226" s="975" t="s">
        <v>178</v>
      </c>
      <c r="F226" s="506"/>
      <c r="G226" s="506"/>
      <c r="H226" s="506"/>
      <c r="I226" s="506"/>
      <c r="J226" s="506"/>
      <c r="K226" s="1036"/>
      <c r="L226" s="133"/>
      <c r="M226" s="144"/>
    </row>
    <row r="227" spans="2:13" x14ac:dyDescent="0.4">
      <c r="B227" s="260" t="s">
        <v>92</v>
      </c>
      <c r="C227" s="111"/>
      <c r="D227" s="271" t="s">
        <v>51</v>
      </c>
      <c r="E227" s="975" t="s">
        <v>178</v>
      </c>
      <c r="F227" s="971"/>
      <c r="G227" s="971"/>
      <c r="H227" s="971"/>
      <c r="I227" s="971"/>
      <c r="J227" s="971"/>
      <c r="K227" s="989"/>
      <c r="M227" s="144"/>
    </row>
    <row r="228" spans="2:13" x14ac:dyDescent="0.4">
      <c r="B228" s="260" t="s">
        <v>93</v>
      </c>
      <c r="C228" s="122" t="str">
        <f>IF(OR(C226="",C227=""),"", IF(ABS(C226-C227)&lt;5,"Yes","No"))</f>
        <v/>
      </c>
      <c r="D228" s="272" t="s">
        <v>178</v>
      </c>
      <c r="E228" s="975" t="s">
        <v>178</v>
      </c>
      <c r="F228" s="971"/>
      <c r="G228" s="971"/>
      <c r="H228" s="971"/>
      <c r="I228" s="971"/>
      <c r="J228" s="971"/>
      <c r="K228" s="989"/>
      <c r="M228" s="144"/>
    </row>
    <row r="229" spans="2:13" x14ac:dyDescent="0.4">
      <c r="B229" s="260" t="s">
        <v>89</v>
      </c>
      <c r="C229" s="111"/>
      <c r="D229" s="271" t="s">
        <v>51</v>
      </c>
      <c r="E229" s="975" t="s">
        <v>178</v>
      </c>
      <c r="F229" s="971"/>
      <c r="G229" s="971"/>
      <c r="H229" s="971"/>
      <c r="I229" s="971"/>
      <c r="J229" s="971"/>
      <c r="K229" s="989"/>
      <c r="M229" s="144"/>
    </row>
    <row r="230" spans="2:13" x14ac:dyDescent="0.4">
      <c r="B230" s="260" t="s">
        <v>61</v>
      </c>
      <c r="C230" s="111"/>
      <c r="D230" s="271" t="s">
        <v>245</v>
      </c>
      <c r="E230" s="975" t="s">
        <v>59</v>
      </c>
      <c r="F230" s="971"/>
      <c r="G230" s="971"/>
      <c r="H230" s="971"/>
      <c r="I230" s="971"/>
      <c r="J230" s="971"/>
      <c r="K230" s="989"/>
      <c r="M230" s="144"/>
    </row>
    <row r="231" spans="2:13" x14ac:dyDescent="0.4">
      <c r="B231" s="260" t="s">
        <v>94</v>
      </c>
      <c r="C231" s="122" t="str">
        <f>IF(ISERROR(AVERAGE(D237:D239)),"",IF(STDEV(D237:D239)&lt;(0.2*AVERAGE(D237:D239)),"Yes","No. Conduct 3 More Cycles"))</f>
        <v/>
      </c>
      <c r="D231" s="271" t="s">
        <v>178</v>
      </c>
      <c r="E231" s="975" t="s">
        <v>178</v>
      </c>
      <c r="F231" s="971"/>
      <c r="G231" s="971"/>
      <c r="H231" s="971"/>
      <c r="I231" s="971"/>
      <c r="J231" s="971"/>
      <c r="K231" s="989"/>
      <c r="M231" s="144"/>
    </row>
    <row r="232" spans="2:13" ht="16.5" x14ac:dyDescent="0.4">
      <c r="B232" s="459" t="s">
        <v>90</v>
      </c>
      <c r="C232" s="122" t="str">
        <f>IF(SUM(C237:C242)=0,"",SUM(C237:C242))</f>
        <v/>
      </c>
      <c r="D232" s="460" t="s">
        <v>80</v>
      </c>
      <c r="E232" s="1014" t="s">
        <v>689</v>
      </c>
      <c r="F232" s="971"/>
      <c r="G232" s="971"/>
      <c r="H232" s="971"/>
      <c r="I232" s="971"/>
      <c r="J232" s="971"/>
      <c r="K232" s="989"/>
      <c r="M232" s="144"/>
    </row>
    <row r="233" spans="2:13" ht="16.5" x14ac:dyDescent="0.4">
      <c r="B233" s="1078" t="s">
        <v>95</v>
      </c>
      <c r="C233" s="122" t="str">
        <f>IF(SUM(D237:D242)=0,"",SUM(D237:D242))</f>
        <v/>
      </c>
      <c r="D233" s="1076" t="s">
        <v>76</v>
      </c>
      <c r="E233" s="1077" t="s">
        <v>688</v>
      </c>
      <c r="F233" s="971"/>
      <c r="G233" s="971"/>
      <c r="H233" s="971"/>
      <c r="I233" s="971"/>
      <c r="J233" s="971"/>
      <c r="K233" s="989"/>
      <c r="M233" s="144"/>
    </row>
    <row r="234" spans="2:13" x14ac:dyDescent="0.4">
      <c r="B234" s="446"/>
      <c r="C234" s="444"/>
      <c r="D234" s="444"/>
      <c r="E234" s="444"/>
      <c r="F234" s="971"/>
      <c r="G234" s="971"/>
      <c r="H234" s="971"/>
      <c r="I234" s="971"/>
      <c r="J234" s="971"/>
      <c r="K234" s="989"/>
      <c r="M234" s="144"/>
    </row>
    <row r="235" spans="2:13" ht="31" x14ac:dyDescent="0.4">
      <c r="B235" s="446"/>
      <c r="C235" s="457" t="s">
        <v>90</v>
      </c>
      <c r="D235" s="457" t="s">
        <v>417</v>
      </c>
      <c r="E235" s="444"/>
      <c r="F235" s="971"/>
      <c r="G235" s="971"/>
      <c r="H235" s="971"/>
      <c r="I235" s="971"/>
      <c r="J235" s="971"/>
      <c r="K235" s="989"/>
      <c r="M235" s="144"/>
    </row>
    <row r="236" spans="2:13" x14ac:dyDescent="0.4">
      <c r="B236" s="462" t="s">
        <v>418</v>
      </c>
      <c r="C236" s="461" t="s">
        <v>80</v>
      </c>
      <c r="D236" s="461" t="s">
        <v>76</v>
      </c>
      <c r="E236" s="444"/>
      <c r="F236" s="971"/>
      <c r="G236" s="971"/>
      <c r="H236" s="971"/>
      <c r="I236" s="971"/>
      <c r="J236" s="971"/>
      <c r="K236" s="989"/>
      <c r="M236" s="144"/>
    </row>
    <row r="237" spans="2:13" x14ac:dyDescent="0.4">
      <c r="B237" s="463">
        <v>1</v>
      </c>
      <c r="C237" s="111"/>
      <c r="D237" s="111"/>
      <c r="E237" s="444"/>
      <c r="F237" s="971"/>
      <c r="G237" s="971"/>
      <c r="H237" s="971"/>
      <c r="I237" s="971"/>
      <c r="J237" s="971"/>
      <c r="K237" s="989"/>
      <c r="M237" s="144"/>
    </row>
    <row r="238" spans="2:13" x14ac:dyDescent="0.4">
      <c r="B238" s="464">
        <v>2</v>
      </c>
      <c r="C238" s="111"/>
      <c r="D238" s="111"/>
      <c r="E238" s="444"/>
      <c r="F238" s="971"/>
      <c r="G238" s="971"/>
      <c r="H238" s="971"/>
      <c r="I238" s="971"/>
      <c r="J238" s="971"/>
      <c r="K238" s="989"/>
      <c r="M238" s="144"/>
    </row>
    <row r="239" spans="2:13" x14ac:dyDescent="0.4">
      <c r="B239" s="465">
        <v>3</v>
      </c>
      <c r="C239" s="111"/>
      <c r="D239" s="111"/>
      <c r="E239" s="444"/>
      <c r="F239" s="971"/>
      <c r="G239" s="971"/>
      <c r="H239" s="971"/>
      <c r="I239" s="971"/>
      <c r="J239" s="971"/>
      <c r="K239" s="989"/>
      <c r="M239" s="144"/>
    </row>
    <row r="240" spans="2:13" x14ac:dyDescent="0.4">
      <c r="B240" s="466" t="s">
        <v>419</v>
      </c>
      <c r="C240" s="111"/>
      <c r="D240" s="111"/>
      <c r="E240" s="444"/>
      <c r="F240" s="971"/>
      <c r="G240" s="971"/>
      <c r="H240" s="971"/>
      <c r="I240" s="971"/>
      <c r="J240" s="971"/>
      <c r="K240" s="989"/>
      <c r="M240" s="144"/>
    </row>
    <row r="241" spans="1:13" x14ac:dyDescent="0.4">
      <c r="B241" s="467" t="s">
        <v>420</v>
      </c>
      <c r="C241" s="111"/>
      <c r="D241" s="111"/>
      <c r="E241" s="444"/>
      <c r="F241" s="971"/>
      <c r="G241" s="971"/>
      <c r="H241" s="971"/>
      <c r="I241" s="971"/>
      <c r="J241" s="971"/>
      <c r="K241" s="989"/>
      <c r="M241" s="144"/>
    </row>
    <row r="242" spans="1:13" ht="16" thickBot="1" x14ac:dyDescent="0.45">
      <c r="B242" s="468" t="s">
        <v>421</v>
      </c>
      <c r="C242" s="121"/>
      <c r="D242" s="121"/>
      <c r="E242" s="1011"/>
      <c r="F242" s="1063"/>
      <c r="G242" s="1063"/>
      <c r="H242" s="1063"/>
      <c r="I242" s="1063"/>
      <c r="J242" s="1063"/>
      <c r="K242" s="988"/>
      <c r="M242" s="144"/>
    </row>
    <row r="243" spans="1:13" x14ac:dyDescent="0.4">
      <c r="B243" s="138"/>
      <c r="C243" s="138"/>
      <c r="D243" s="138"/>
      <c r="E243" s="138"/>
      <c r="M243" s="144"/>
    </row>
    <row r="244" spans="1:13" ht="16" thickBot="1" x14ac:dyDescent="0.45">
      <c r="B244" s="157"/>
      <c r="C244" s="138"/>
      <c r="D244" s="138"/>
      <c r="E244" s="138"/>
      <c r="M244" s="331"/>
    </row>
    <row r="245" spans="1:13" ht="18" customHeight="1" thickBot="1" x14ac:dyDescent="0.45">
      <c r="B245" s="1409" t="str">
        <f>"Appendix N, Section 8.10: Optional test procedures for condensing furnaces and boilers that have no off-period flue losses." &amp;
IF('General Info &amp; Test Results'!C49="Non-Condensing"," - NOT REQUIRED FOR THIS TEST","")</f>
        <v>Appendix N, Section 8.10: Optional test procedures for condensing furnaces and boilers that have no off-period flue losses.</v>
      </c>
      <c r="C245" s="1410"/>
      <c r="D245" s="1410"/>
      <c r="E245" s="1410"/>
      <c r="F245" s="1410"/>
      <c r="G245" s="1410"/>
      <c r="H245" s="1410"/>
      <c r="I245" s="1410"/>
      <c r="J245" s="1410"/>
      <c r="K245" s="1411"/>
      <c r="M245" s="331"/>
    </row>
    <row r="246" spans="1:13" ht="17.25" customHeight="1" x14ac:dyDescent="0.4">
      <c r="B246" s="1432" t="s">
        <v>425</v>
      </c>
      <c r="C246" s="1433"/>
      <c r="D246" s="1433"/>
      <c r="E246" s="1433"/>
      <c r="F246" s="1433"/>
      <c r="G246" s="1433"/>
      <c r="H246" s="1433"/>
      <c r="I246" s="1433"/>
      <c r="J246" s="1433"/>
      <c r="K246" s="1434"/>
      <c r="M246" s="331"/>
    </row>
    <row r="247" spans="1:13" x14ac:dyDescent="0.4">
      <c r="B247" s="1102" t="s">
        <v>52</v>
      </c>
      <c r="C247" s="1099" t="s">
        <v>34</v>
      </c>
      <c r="D247" s="1100" t="s">
        <v>35</v>
      </c>
      <c r="E247" s="1100" t="s">
        <v>33</v>
      </c>
      <c r="F247" s="971"/>
      <c r="G247" s="971"/>
      <c r="H247" s="971"/>
      <c r="I247" s="971"/>
      <c r="J247" s="971"/>
      <c r="K247" s="989"/>
      <c r="M247" s="331"/>
    </row>
    <row r="248" spans="1:13" x14ac:dyDescent="0.4">
      <c r="B248" s="333" t="s">
        <v>262</v>
      </c>
      <c r="C248" s="124" t="str">
        <f>IF('Max Test'!C248="","",'Max Test'!C248)</f>
        <v/>
      </c>
      <c r="D248" s="271" t="s">
        <v>178</v>
      </c>
      <c r="E248" s="1118" t="s">
        <v>178</v>
      </c>
      <c r="F248" s="971"/>
      <c r="G248" s="971"/>
      <c r="H248" s="971"/>
      <c r="I248" s="971"/>
      <c r="J248" s="971"/>
      <c r="K248" s="989"/>
      <c r="M248" s="331"/>
    </row>
    <row r="249" spans="1:13" ht="46.5" x14ac:dyDescent="0.4">
      <c r="B249" s="330" t="s">
        <v>263</v>
      </c>
      <c r="C249" s="124" t="str">
        <f>IF('Max Test'!C249="","",'Max Test'!C249)</f>
        <v>Fill in Tracer Gas Draft Factors table on Test Conditions tab</v>
      </c>
      <c r="D249" s="271" t="s">
        <v>178</v>
      </c>
      <c r="E249" s="1118" t="s">
        <v>178</v>
      </c>
      <c r="F249" s="971"/>
      <c r="G249" s="971"/>
      <c r="H249" s="971"/>
      <c r="I249" s="971"/>
      <c r="J249" s="971"/>
      <c r="K249" s="989"/>
      <c r="M249" s="331"/>
    </row>
    <row r="250" spans="1:13" ht="31.5" thickBot="1" x14ac:dyDescent="0.45">
      <c r="B250" s="289" t="s">
        <v>264</v>
      </c>
      <c r="C250" s="910" t="str">
        <f>IF('Max Test'!C250="","",'Max Test'!C250)</f>
        <v/>
      </c>
      <c r="D250" s="276" t="s">
        <v>178</v>
      </c>
      <c r="E250" s="1123" t="s">
        <v>178</v>
      </c>
      <c r="F250" s="1063"/>
      <c r="G250" s="1063"/>
      <c r="H250" s="1063"/>
      <c r="I250" s="1063"/>
      <c r="J250" s="1063"/>
      <c r="K250" s="988"/>
      <c r="M250" s="331"/>
    </row>
    <row r="251" spans="1:13" x14ac:dyDescent="0.4">
      <c r="B251" s="157"/>
      <c r="C251" s="138"/>
      <c r="D251" s="138"/>
      <c r="E251" s="138"/>
      <c r="M251" s="331"/>
    </row>
    <row r="252" spans="1:13" x14ac:dyDescent="0.4">
      <c r="B252" s="157"/>
      <c r="C252" s="138"/>
      <c r="D252" s="138"/>
      <c r="E252" s="138"/>
      <c r="M252" s="331"/>
    </row>
    <row r="253" spans="1:13" x14ac:dyDescent="0.4">
      <c r="A253" s="144"/>
      <c r="B253" s="144"/>
      <c r="C253" s="144"/>
      <c r="D253" s="144"/>
      <c r="E253" s="144"/>
      <c r="F253" s="151"/>
      <c r="G253" s="332"/>
      <c r="H253" s="332"/>
      <c r="I253" s="332"/>
      <c r="J253" s="332"/>
      <c r="K253" s="332"/>
      <c r="L253" s="332"/>
      <c r="M253" s="331"/>
    </row>
    <row r="254" spans="1:13" x14ac:dyDescent="0.4">
      <c r="B254" s="138"/>
      <c r="C254" s="138"/>
      <c r="D254" s="138"/>
      <c r="E254" s="138"/>
      <c r="G254" s="138"/>
      <c r="H254" s="138"/>
      <c r="I254" s="138"/>
      <c r="J254" s="138"/>
      <c r="K254" s="138"/>
      <c r="L254" s="138"/>
    </row>
    <row r="255" spans="1:13" x14ac:dyDescent="0.4">
      <c r="B255" s="138"/>
      <c r="C255" s="138"/>
      <c r="D255" s="138"/>
      <c r="E255" s="138"/>
    </row>
    <row r="256" spans="1:13" x14ac:dyDescent="0.4">
      <c r="B256" s="138"/>
      <c r="C256" s="138"/>
      <c r="D256" s="138"/>
      <c r="E256" s="138"/>
    </row>
    <row r="257" spans="2:6" x14ac:dyDescent="0.4">
      <c r="B257" s="138"/>
      <c r="C257" s="138"/>
      <c r="D257" s="138"/>
      <c r="E257" s="138"/>
    </row>
    <row r="258" spans="2:6" x14ac:dyDescent="0.4">
      <c r="B258" s="146"/>
      <c r="C258" s="130"/>
      <c r="D258" s="138"/>
      <c r="F258" s="138"/>
    </row>
    <row r="259" spans="2:6" x14ac:dyDescent="0.4">
      <c r="B259" s="138"/>
      <c r="C259" s="130"/>
      <c r="D259" s="138"/>
    </row>
    <row r="260" spans="2:6" x14ac:dyDescent="0.4">
      <c r="B260" s="138"/>
      <c r="C260" s="130"/>
      <c r="D260" s="138"/>
    </row>
  </sheetData>
  <sheetProtection algorithmName="SHA-512" hashValue="urBhtScYMbW7FOk/hJWKjIorSo729kGxjwKashERcWowsFnJS28qRAyW2WPbJWiXedk56jufxg+Yf7+o4kiP0Q==" saltValue="kFEDoIkdfBItTVIPvaH7CQ==" spinCount="100000" sheet="1" selectLockedCells="1"/>
  <mergeCells count="86">
    <mergeCell ref="B245:K245"/>
    <mergeCell ref="B246:K246"/>
    <mergeCell ref="B217:K217"/>
    <mergeCell ref="B218:K218"/>
    <mergeCell ref="B219:K219"/>
    <mergeCell ref="B220:K220"/>
    <mergeCell ref="B221:K221"/>
    <mergeCell ref="B205:K205"/>
    <mergeCell ref="B209:K209"/>
    <mergeCell ref="B212:K212"/>
    <mergeCell ref="B215:K215"/>
    <mergeCell ref="B216:K216"/>
    <mergeCell ref="G148:G149"/>
    <mergeCell ref="H148:H149"/>
    <mergeCell ref="B153:B154"/>
    <mergeCell ref="C153:D153"/>
    <mergeCell ref="E153:F153"/>
    <mergeCell ref="G153:G154"/>
    <mergeCell ref="H153:H154"/>
    <mergeCell ref="B148:B149"/>
    <mergeCell ref="C148:D148"/>
    <mergeCell ref="E148:F148"/>
    <mergeCell ref="B134:K134"/>
    <mergeCell ref="B138:K138"/>
    <mergeCell ref="B143:K143"/>
    <mergeCell ref="B145:K145"/>
    <mergeCell ref="B147:E147"/>
    <mergeCell ref="B104:K104"/>
    <mergeCell ref="B115:K115"/>
    <mergeCell ref="B116:K116"/>
    <mergeCell ref="B118:K118"/>
    <mergeCell ref="B130:K130"/>
    <mergeCell ref="B85:K85"/>
    <mergeCell ref="B86:K86"/>
    <mergeCell ref="B92:K92"/>
    <mergeCell ref="B91:K91"/>
    <mergeCell ref="B103:K103"/>
    <mergeCell ref="B59:K59"/>
    <mergeCell ref="B60:K60"/>
    <mergeCell ref="B61:K61"/>
    <mergeCell ref="B62:K62"/>
    <mergeCell ref="B63:K63"/>
    <mergeCell ref="B53:K53"/>
    <mergeCell ref="B54:K54"/>
    <mergeCell ref="B55:K55"/>
    <mergeCell ref="B57:I57"/>
    <mergeCell ref="B58:K58"/>
    <mergeCell ref="B49:B50"/>
    <mergeCell ref="C49:D49"/>
    <mergeCell ref="E49:F49"/>
    <mergeCell ref="G49:G50"/>
    <mergeCell ref="H49:H50"/>
    <mergeCell ref="B161:K161"/>
    <mergeCell ref="B165:K165"/>
    <mergeCell ref="B169:K169"/>
    <mergeCell ref="B177:K177"/>
    <mergeCell ref="B152:E152"/>
    <mergeCell ref="B181:K181"/>
    <mergeCell ref="B183:K183"/>
    <mergeCell ref="B184:K184"/>
    <mergeCell ref="B187:K187"/>
    <mergeCell ref="B188:K188"/>
    <mergeCell ref="B195:K195"/>
    <mergeCell ref="B199:K199"/>
    <mergeCell ref="B204:K204"/>
    <mergeCell ref="B2:C2"/>
    <mergeCell ref="B12:K12"/>
    <mergeCell ref="B14:K14"/>
    <mergeCell ref="B18:K18"/>
    <mergeCell ref="B11:K11"/>
    <mergeCell ref="B34:E34"/>
    <mergeCell ref="B40:E40"/>
    <mergeCell ref="B48:E48"/>
    <mergeCell ref="B25:K25"/>
    <mergeCell ref="B30:K30"/>
    <mergeCell ref="B32:K32"/>
    <mergeCell ref="B35:B36"/>
    <mergeCell ref="C35:D35"/>
    <mergeCell ref="E35:F35"/>
    <mergeCell ref="G35:G36"/>
    <mergeCell ref="H35:H36"/>
    <mergeCell ref="B41:B42"/>
    <mergeCell ref="C41:D41"/>
    <mergeCell ref="E41:F41"/>
    <mergeCell ref="G41:G42"/>
    <mergeCell ref="H41:H42"/>
  </mergeCells>
  <conditionalFormatting sqref="B115:B119 B138 B139:E139 B130:B131 B134 B137:K137 B158:K158">
    <cfRule type="expression" dxfId="0" priority="46">
      <formula>$C$250="No"</formula>
    </cfRule>
  </conditionalFormatting>
  <dataValidations count="3">
    <dataValidation type="whole" allowBlank="1" showInputMessage="1" showErrorMessage="1" sqref="C121 C124" xr:uid="{16299916-FE21-4F5C-B79B-1348E805F395}">
      <formula1>0</formula1>
      <formula2>180</formula2>
    </dataValidation>
    <dataValidation type="decimal" allowBlank="1" showInputMessage="1" showErrorMessage="1" sqref="C121 C124" xr:uid="{C031CFEC-72B2-4671-9302-0A7C24882117}">
      <formula1>1.5</formula1>
      <formula2>13.3</formula2>
    </dataValidation>
    <dataValidation type="decimal" allowBlank="1" showInputMessage="1" showErrorMessage="1" sqref="C94 C97:C99 C224 C226:C227 C20:C21 C27:C28 C43:D45 C140:C141 C229:C230 C237:D242 C17 C110:C112 C106 E78 C51:D51 C127:C128 C132:C133 C150:D150 C155:D157 C79:H81 J79:K81" xr:uid="{93579FDC-4C5D-4892-AAAA-CABF062B9711}">
      <formula1>-1E+26</formula1>
      <formula2>1E+26</formula2>
    </dataValidation>
  </dataValidations>
  <hyperlinks>
    <hyperlink ref="F4" location="Instructions!C33" display="Back to Instructions tab" xr:uid="{2197DCA5-446F-4251-A7AD-F1441FE891AF}"/>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720995A-324D-4518-BED5-7712CD8F02E2}">
          <x14:formula1>
            <xm:f>'Drop-Downs and Tables'!$B$92:$B$94</xm:f>
          </x14:formula1>
          <xm:sqref>C22 C120 C163 C123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0070C0"/>
  </sheetPr>
  <dimension ref="A1:Q1399"/>
  <sheetViews>
    <sheetView showGridLines="0" zoomScale="80" zoomScaleNormal="80" workbookViewId="0">
      <selection activeCell="G4" sqref="G4:H4"/>
    </sheetView>
  </sheetViews>
  <sheetFormatPr defaultColWidth="9" defaultRowHeight="15.5" x14ac:dyDescent="0.4"/>
  <cols>
    <col min="1" max="1" width="3.6328125" style="130" customWidth="1"/>
    <col min="2" max="2" width="75.08984375" style="126" customWidth="1"/>
    <col min="3" max="3" width="37.08984375" style="127" customWidth="1"/>
    <col min="4" max="4" width="17" style="128" customWidth="1"/>
    <col min="5" max="5" width="10.6328125" style="126" customWidth="1"/>
    <col min="6" max="6" width="19.26953125" style="126" customWidth="1"/>
    <col min="7" max="7" width="17.26953125" style="126" customWidth="1"/>
    <col min="8" max="8" width="12.08984375" style="126" customWidth="1"/>
    <col min="9" max="9" width="12.08984375" style="129" customWidth="1"/>
    <col min="10" max="11" width="12.08984375" style="130" customWidth="1"/>
    <col min="12" max="12" width="11.7265625" style="126" customWidth="1"/>
    <col min="13" max="14" width="10.453125" style="130" customWidth="1"/>
    <col min="15" max="15" width="11.7265625" style="130" customWidth="1"/>
    <col min="16" max="16" width="10.453125" style="130" customWidth="1"/>
    <col min="17" max="18" width="7.7265625" style="130" bestFit="1" customWidth="1"/>
    <col min="19" max="19" width="5.6328125" style="130" bestFit="1" customWidth="1"/>
    <col min="20" max="20" width="14.453125" style="130" customWidth="1"/>
    <col min="21" max="21" width="15" style="130" customWidth="1"/>
    <col min="22" max="16384" width="9" style="130"/>
  </cols>
  <sheetData>
    <row r="1" spans="2:17" ht="16" thickBot="1" x14ac:dyDescent="0.45">
      <c r="Q1" s="131"/>
    </row>
    <row r="2" spans="2:17" ht="16" thickBot="1" x14ac:dyDescent="0.45">
      <c r="B2" s="1521" t="s">
        <v>236</v>
      </c>
      <c r="C2" s="1522"/>
      <c r="D2" s="239"/>
      <c r="E2" s="239"/>
      <c r="F2" s="134"/>
      <c r="H2" s="129"/>
      <c r="I2" s="130"/>
      <c r="K2" s="126"/>
      <c r="L2" s="130"/>
      <c r="Q2" s="131"/>
    </row>
    <row r="3" spans="2:17" x14ac:dyDescent="0.4">
      <c r="B3" s="590" t="s">
        <v>237</v>
      </c>
      <c r="C3" s="591" t="str">
        <f>'Version Control'!C3</f>
        <v>Consumer Boiler</v>
      </c>
      <c r="D3" s="1529"/>
      <c r="E3" s="1529"/>
      <c r="F3" s="134"/>
      <c r="G3" s="134"/>
      <c r="Q3" s="131"/>
    </row>
    <row r="4" spans="2:17" ht="17" x14ac:dyDescent="0.4">
      <c r="B4" s="592" t="s">
        <v>119</v>
      </c>
      <c r="C4" s="593" t="str">
        <f>'Version Control'!C4</f>
        <v>v1.1</v>
      </c>
      <c r="D4" s="594"/>
      <c r="E4" s="178"/>
      <c r="G4" s="1530" t="s">
        <v>126</v>
      </c>
      <c r="H4" s="1530"/>
      <c r="K4" s="126"/>
      <c r="L4" s="130"/>
      <c r="Q4" s="131"/>
    </row>
    <row r="5" spans="2:17" x14ac:dyDescent="0.4">
      <c r="B5" s="592" t="s">
        <v>120</v>
      </c>
      <c r="C5" s="595">
        <f>'Version Control'!C5</f>
        <v>43721</v>
      </c>
      <c r="D5" s="596"/>
      <c r="E5" s="241"/>
      <c r="F5" s="134"/>
      <c r="H5" s="129"/>
      <c r="I5" s="130"/>
      <c r="K5" s="126"/>
      <c r="L5" s="130"/>
      <c r="Q5" s="131"/>
    </row>
    <row r="6" spans="2:17" x14ac:dyDescent="0.4">
      <c r="B6" s="597" t="s">
        <v>118</v>
      </c>
      <c r="C6" s="598" t="str">
        <f ca="1">MID(CELL("filename",A1), FIND("]", CELL("filename", A1))+ 1, 255)</f>
        <v>Calculations</v>
      </c>
      <c r="D6" s="599"/>
      <c r="E6" s="178"/>
      <c r="F6" s="134"/>
      <c r="H6" s="129"/>
      <c r="I6" s="130"/>
      <c r="K6" s="126"/>
      <c r="L6" s="130"/>
      <c r="Q6" s="131"/>
    </row>
    <row r="7" spans="2:17" x14ac:dyDescent="0.4">
      <c r="B7" s="600" t="s">
        <v>117</v>
      </c>
      <c r="C7" s="601" t="str">
        <f ca="1">'Version Control'!C7</f>
        <v>Consumer Boiler - v1.1.xlsx</v>
      </c>
      <c r="D7" s="599"/>
      <c r="E7" s="178"/>
      <c r="F7" s="134"/>
      <c r="H7" s="129"/>
      <c r="I7" s="130"/>
      <c r="K7" s="126"/>
      <c r="L7" s="130"/>
      <c r="Q7" s="131"/>
    </row>
    <row r="8" spans="2:17" ht="16" thickBot="1" x14ac:dyDescent="0.45">
      <c r="B8" s="602" t="s">
        <v>121</v>
      </c>
      <c r="C8" s="603">
        <f>'Version Control'!C8</f>
        <v>0</v>
      </c>
      <c r="D8" s="604"/>
      <c r="E8" s="162"/>
      <c r="F8" s="134"/>
      <c r="H8" s="129"/>
      <c r="I8" s="130"/>
      <c r="K8" s="126"/>
      <c r="L8" s="130"/>
      <c r="Q8" s="131"/>
    </row>
    <row r="9" spans="2:17" x14ac:dyDescent="0.4">
      <c r="B9" s="135"/>
      <c r="I9" s="126"/>
      <c r="J9" s="126"/>
      <c r="K9" s="126"/>
      <c r="Q9" s="131"/>
    </row>
    <row r="10" spans="2:17" ht="16" thickBot="1" x14ac:dyDescent="0.45">
      <c r="E10" s="183"/>
      <c r="H10" s="129"/>
      <c r="J10" s="126"/>
      <c r="K10" s="126"/>
      <c r="Q10" s="131"/>
    </row>
    <row r="11" spans="2:17" ht="16" thickBot="1" x14ac:dyDescent="0.45">
      <c r="B11" s="508" t="s">
        <v>557</v>
      </c>
      <c r="C11" s="562"/>
      <c r="D11" s="563"/>
      <c r="E11" s="509"/>
      <c r="F11" s="509"/>
      <c r="G11" s="509"/>
      <c r="H11" s="509"/>
      <c r="I11" s="509"/>
      <c r="J11" s="509"/>
      <c r="K11" s="509"/>
      <c r="L11" s="564"/>
      <c r="Q11" s="131"/>
    </row>
    <row r="12" spans="2:17" ht="49.5" customHeight="1" x14ac:dyDescent="0.4">
      <c r="B12" s="1523" t="s">
        <v>72</v>
      </c>
      <c r="C12" s="1525" t="s">
        <v>33</v>
      </c>
      <c r="D12" s="1531" t="s">
        <v>62</v>
      </c>
      <c r="E12" s="1527" t="s">
        <v>558</v>
      </c>
      <c r="F12" s="1527" t="s">
        <v>559</v>
      </c>
      <c r="G12" s="1527" t="s">
        <v>560</v>
      </c>
      <c r="H12" s="1527" t="s">
        <v>561</v>
      </c>
      <c r="I12" s="1527"/>
      <c r="J12" s="1527" t="s">
        <v>562</v>
      </c>
      <c r="K12" s="1527"/>
      <c r="L12" s="1502" t="s">
        <v>138</v>
      </c>
      <c r="Q12" s="131"/>
    </row>
    <row r="13" spans="2:17" ht="33" customHeight="1" thickBot="1" x14ac:dyDescent="0.45">
      <c r="B13" s="1524"/>
      <c r="C13" s="1526"/>
      <c r="D13" s="1532"/>
      <c r="E13" s="1528"/>
      <c r="F13" s="1528"/>
      <c r="G13" s="1528"/>
      <c r="H13" s="912" t="s">
        <v>517</v>
      </c>
      <c r="I13" s="912" t="s">
        <v>518</v>
      </c>
      <c r="J13" s="912" t="s">
        <v>517</v>
      </c>
      <c r="K13" s="912" t="s">
        <v>518</v>
      </c>
      <c r="L13" s="1503"/>
      <c r="Q13" s="131"/>
    </row>
    <row r="14" spans="2:17" ht="16" thickBot="1" x14ac:dyDescent="0.45">
      <c r="B14" s="913" t="s">
        <v>549</v>
      </c>
      <c r="C14" s="914" t="s">
        <v>178</v>
      </c>
      <c r="D14" s="915" t="str">
        <f>IF('General Info &amp; Test Results'!C37="Electricity","11.1",
IF(AND('General Info &amp; Test Results'!$C$50="Single Stage",'General Info &amp; Test Results'!$C$49="Non-Condensing"),"11.2",
IF(AND('General Info &amp; Test Results'!$C$50="Single Stage",'General Info &amp; Test Results'!$C$49="Condensing"),"11.3",
IF(AND(OR('General Info &amp; Test Results'!$C$50="Step Modulating",'General Info &amp; Test Results'!$C$50="Two-Stage Modulating"),'General Info &amp; Test Results'!$C$49="Non-Condensing"),"11.4",
IF(AND(OR('General Info &amp; Test Results'!$C$50="Step Modulating",'General Info &amp; Test Results'!$C$50="Two-Stage Modulating"),'General Info &amp; Test Results'!$C$49="Condensing"),"11.5",
"Unknown")))))</f>
        <v>Unknown</v>
      </c>
      <c r="E14" s="916" t="str">
        <f>"11.1"</f>
        <v>11.1</v>
      </c>
      <c r="F14" s="916" t="str">
        <f>"11.2"</f>
        <v>11.2</v>
      </c>
      <c r="G14" s="916" t="str">
        <f>"11.3"</f>
        <v>11.3</v>
      </c>
      <c r="H14" s="916" t="str">
        <f>"11.4"</f>
        <v>11.4</v>
      </c>
      <c r="I14" s="916" t="str">
        <f>"11.4"</f>
        <v>11.4</v>
      </c>
      <c r="J14" s="916" t="str">
        <f>"11.5"</f>
        <v>11.5</v>
      </c>
      <c r="K14" s="916" t="str">
        <f>"11.5"</f>
        <v>11.5</v>
      </c>
      <c r="L14" s="917" t="s">
        <v>178</v>
      </c>
      <c r="Q14" s="131"/>
    </row>
    <row r="15" spans="2:17" ht="16" thickBot="1" x14ac:dyDescent="0.45">
      <c r="B15" s="863"/>
      <c r="C15" s="835"/>
      <c r="D15" s="835"/>
      <c r="E15" s="836"/>
      <c r="F15" s="836"/>
      <c r="G15" s="836"/>
      <c r="H15" s="836"/>
      <c r="I15" s="836"/>
      <c r="J15" s="836"/>
      <c r="K15" s="836"/>
      <c r="L15" s="864"/>
      <c r="Q15" s="131"/>
    </row>
    <row r="16" spans="2:17" x14ac:dyDescent="0.4">
      <c r="B16" s="880" t="s">
        <v>923</v>
      </c>
      <c r="C16" s="881"/>
      <c r="D16" s="881"/>
      <c r="E16" s="881"/>
      <c r="F16" s="882"/>
      <c r="G16" s="882"/>
      <c r="H16" s="882"/>
      <c r="I16" s="882"/>
      <c r="J16" s="882"/>
      <c r="K16" s="882"/>
      <c r="L16" s="883"/>
      <c r="Q16" s="131"/>
    </row>
    <row r="17" spans="2:17" ht="16" thickBot="1" x14ac:dyDescent="0.45">
      <c r="B17" s="906" t="s">
        <v>39</v>
      </c>
      <c r="C17" s="907" t="s">
        <v>178</v>
      </c>
      <c r="D17" s="908" t="str">
        <f>IF(OR($D$14="Unknown",D14="11.1"),"11.2",$D$14) &amp; ".1"</f>
        <v>11.2.1</v>
      </c>
      <c r="E17" s="909"/>
      <c r="F17" s="910" t="str">
        <f>IF($D$14&lt;&gt;F$14,"N/A",'General Info &amp; Test Results'!$C$34)</f>
        <v>N/A</v>
      </c>
      <c r="G17" s="910" t="str">
        <f>IF($D$14&lt;&gt;G$14,"N/A",'General Info &amp; Test Results'!$C$34)</f>
        <v>N/A</v>
      </c>
      <c r="H17" s="910" t="str">
        <f>IF($D$14&lt;&gt;H$14,"N/A",'General Info &amp; Test Results'!$C$34)</f>
        <v>N/A</v>
      </c>
      <c r="I17" s="910" t="str">
        <f>IF($D$14&lt;&gt;I$14,"N/A",'General Info &amp; Test Results'!$C$34)</f>
        <v>N/A</v>
      </c>
      <c r="J17" s="910" t="str">
        <f>IF($D$14&lt;&gt;J$14,"N/A",'General Info &amp; Test Results'!$C$34)</f>
        <v>N/A</v>
      </c>
      <c r="K17" s="910" t="str">
        <f>IF($D$14&lt;&gt;K$14,"N/A",'General Info &amp; Test Results'!$C$34)</f>
        <v>N/A</v>
      </c>
      <c r="L17" s="911" t="s">
        <v>178</v>
      </c>
      <c r="Q17" s="131"/>
    </row>
    <row r="18" spans="2:17" ht="16" thickBot="1" x14ac:dyDescent="0.45">
      <c r="B18" s="863"/>
      <c r="C18" s="835"/>
      <c r="D18" s="835"/>
      <c r="E18" s="835"/>
      <c r="F18" s="518"/>
      <c r="G18" s="518"/>
      <c r="H18" s="518"/>
      <c r="I18" s="518"/>
      <c r="J18" s="518"/>
      <c r="K18" s="518"/>
      <c r="L18" s="864"/>
      <c r="Q18" s="131"/>
    </row>
    <row r="19" spans="2:17" x14ac:dyDescent="0.4">
      <c r="B19" s="880" t="s">
        <v>435</v>
      </c>
      <c r="C19" s="881"/>
      <c r="D19" s="881"/>
      <c r="E19" s="881"/>
      <c r="F19" s="882"/>
      <c r="G19" s="882"/>
      <c r="H19" s="882"/>
      <c r="I19" s="882"/>
      <c r="J19" s="882"/>
      <c r="K19" s="882"/>
      <c r="L19" s="883"/>
      <c r="Q19" s="131"/>
    </row>
    <row r="20" spans="2:17" x14ac:dyDescent="0.4">
      <c r="B20" s="865" t="s">
        <v>704</v>
      </c>
      <c r="C20" s="849" t="s">
        <v>44</v>
      </c>
      <c r="D20" s="850" t="str">
        <f>IF(OR($D$14="Unknown",D14="11.1"),"11.2",$D$14) &amp; ".2"</f>
        <v>11.2.2</v>
      </c>
      <c r="E20" s="851"/>
      <c r="F20" s="124" t="str">
        <f>IF($D$14&lt;&gt;F$14,"N/A",'Drop-Downs and Tables'!$F$188)</f>
        <v>N/A</v>
      </c>
      <c r="G20" s="124" t="str">
        <f>IF($D$14&lt;&gt;G$14,"N/A",'Drop-Downs and Tables'!$F$188)</f>
        <v>N/A</v>
      </c>
      <c r="H20" s="124" t="str">
        <f>IF($D$14&lt;&gt;H$14,"N/A",'Drop-Downs and Tables'!$F$188)</f>
        <v>N/A</v>
      </c>
      <c r="I20" s="124" t="str">
        <f>IF($D$14&lt;&gt;I$14,"N/A",'Drop-Downs and Tables'!$F$188)</f>
        <v>N/A</v>
      </c>
      <c r="J20" s="124" t="str">
        <f>IF($D$14&lt;&gt;J$14,"N/A",'Drop-Downs and Tables'!$F$188)</f>
        <v>N/A</v>
      </c>
      <c r="K20" s="124" t="str">
        <f>IF($D$14&lt;&gt;K$14,"N/A",'Drop-Downs and Tables'!$F$188)</f>
        <v>N/A</v>
      </c>
      <c r="L20" s="866" t="s">
        <v>178</v>
      </c>
      <c r="Q20" s="131"/>
    </row>
    <row r="21" spans="2:17" x14ac:dyDescent="0.4">
      <c r="B21" s="730" t="s">
        <v>704</v>
      </c>
      <c r="C21" s="519" t="s">
        <v>45</v>
      </c>
      <c r="D21" s="659" t="str">
        <f>IF(OR($D$14="Unknown",D14="11.1"),"11.2",$D$14) &amp; ".2"</f>
        <v>11.2.2</v>
      </c>
      <c r="E21" s="715"/>
      <c r="F21" s="124" t="str">
        <f>IF($D$14&lt;&gt;F$14,"N/A",'Drop-Downs and Tables'!$G$188)</f>
        <v>N/A</v>
      </c>
      <c r="G21" s="124" t="str">
        <f>IF($D$14&lt;&gt;G$14,"N/A",'Drop-Downs and Tables'!$G$188)</f>
        <v>N/A</v>
      </c>
      <c r="H21" s="124" t="str">
        <f>IF($D$14&lt;&gt;H$14,"N/A",'Drop-Downs and Tables'!$G$188)</f>
        <v>N/A</v>
      </c>
      <c r="I21" s="124" t="str">
        <f>IF($D$14&lt;&gt;I$14,"N/A",'Drop-Downs and Tables'!$G$188)</f>
        <v>N/A</v>
      </c>
      <c r="J21" s="124" t="str">
        <f>IF($D$14&lt;&gt;J$14,"N/A",'Drop-Downs and Tables'!$G$188)</f>
        <v>N/A</v>
      </c>
      <c r="K21" s="124" t="str">
        <f>IF($D$14&lt;&gt;K$14,"N/A",'Drop-Downs and Tables'!$G$188)</f>
        <v>N/A</v>
      </c>
      <c r="L21" s="520" t="s">
        <v>178</v>
      </c>
      <c r="Q21" s="131"/>
    </row>
    <row r="22" spans="2:17" ht="16.5" x14ac:dyDescent="0.4">
      <c r="B22" s="729" t="s">
        <v>550</v>
      </c>
      <c r="C22" s="519" t="s">
        <v>514</v>
      </c>
      <c r="D22" s="659" t="str">
        <f>IF(OR($D$14="Unknown",D14="11.1"),"11.2",$D$14) &amp; ".2"</f>
        <v>11.2.2</v>
      </c>
      <c r="E22" s="715"/>
      <c r="F22" s="125" t="str">
        <f>IF($D$14&lt;&gt;F$14,"N/A",'Max Test'!$C$68)</f>
        <v>N/A</v>
      </c>
      <c r="G22" s="125" t="str">
        <f>IF($D$14&lt;&gt;G$14,"N/A",'Max Test'!$C$68)</f>
        <v>N/A</v>
      </c>
      <c r="H22" s="125" t="str">
        <f>IF($D$14&lt;&gt;H$14,"N/A",'Max Test'!$C$68)</f>
        <v>N/A</v>
      </c>
      <c r="I22" s="125" t="str">
        <f>IF($D$14&lt;&gt;I$14,"N/A",'Reduced Test'!$C$68)</f>
        <v>N/A</v>
      </c>
      <c r="J22" s="125" t="str">
        <f>IF($D$14&lt;&gt;J$14,"N/A",'Max Test'!$C$68)</f>
        <v>N/A</v>
      </c>
      <c r="K22" s="125" t="str">
        <f>IF($D$14&lt;&gt;K$14,"N/A",'Reduced Test'!$C$68)</f>
        <v>N/A</v>
      </c>
      <c r="L22" s="137" t="s">
        <v>218</v>
      </c>
      <c r="Q22" s="131"/>
    </row>
    <row r="23" spans="2:17" ht="17" thickBot="1" x14ac:dyDescent="0.45">
      <c r="B23" s="733" t="s">
        <v>435</v>
      </c>
      <c r="C23" s="904" t="s">
        <v>502</v>
      </c>
      <c r="D23" s="735" t="str">
        <f>IF(OR($D$14="Unknown",D14="11.1"),"11.2",$D$14) &amp; ".2"</f>
        <v>11.2.2</v>
      </c>
      <c r="E23" s="884"/>
      <c r="F23" s="966" t="str">
        <f>IF($D$14&lt;&gt;F$14,"N/A",IFERROR(F20+(F21/F22),""))</f>
        <v>N/A</v>
      </c>
      <c r="G23" s="905" t="str">
        <f t="shared" ref="G23:K23" si="0">IF($D$14&lt;&gt;G$14,"N/A",IFERROR(G20+(G21/G22),""))</f>
        <v>N/A</v>
      </c>
      <c r="H23" s="905" t="str">
        <f t="shared" si="0"/>
        <v>N/A</v>
      </c>
      <c r="I23" s="905" t="str">
        <f t="shared" si="0"/>
        <v>N/A</v>
      </c>
      <c r="J23" s="905" t="str">
        <f t="shared" si="0"/>
        <v>N/A</v>
      </c>
      <c r="K23" s="905" t="str">
        <f t="shared" si="0"/>
        <v>N/A</v>
      </c>
      <c r="L23" s="739" t="s">
        <v>178</v>
      </c>
      <c r="Q23" s="131"/>
    </row>
    <row r="24" spans="2:17" ht="16" thickBot="1" x14ac:dyDescent="0.45">
      <c r="B24" s="863"/>
      <c r="C24" s="838"/>
      <c r="D24" s="835"/>
      <c r="E24" s="835"/>
      <c r="F24" s="522"/>
      <c r="G24" s="522"/>
      <c r="H24" s="522"/>
      <c r="I24" s="522"/>
      <c r="J24" s="522"/>
      <c r="K24" s="522"/>
      <c r="L24" s="864"/>
      <c r="Q24" s="131"/>
    </row>
    <row r="25" spans="2:17" x14ac:dyDescent="0.4">
      <c r="B25" s="880" t="s">
        <v>434</v>
      </c>
      <c r="C25" s="881"/>
      <c r="D25" s="881"/>
      <c r="E25" s="881"/>
      <c r="F25" s="882"/>
      <c r="G25" s="882"/>
      <c r="H25" s="882"/>
      <c r="I25" s="882"/>
      <c r="J25" s="882"/>
      <c r="K25" s="882"/>
      <c r="L25" s="883"/>
      <c r="Q25" s="131"/>
    </row>
    <row r="26" spans="2:17" ht="16.5" x14ac:dyDescent="0.4">
      <c r="B26" s="867" t="s">
        <v>551</v>
      </c>
      <c r="C26" s="849" t="s">
        <v>515</v>
      </c>
      <c r="D26" s="850" t="str">
        <f>IF(OR($D$14="Unknown",D14="11.1"),"11.2",$D$14) &amp; ".3"</f>
        <v>11.2.3</v>
      </c>
      <c r="E26" s="851"/>
      <c r="F26" s="529" t="str">
        <f>IF($D$14&lt;&gt;F$14,"N/A",'Max Test'!$C$70)</f>
        <v>N/A</v>
      </c>
      <c r="G26" s="852"/>
      <c r="H26" s="529" t="str">
        <f>IF($D$14&lt;&gt;H$14,"N/A",'Max Test'!$C$70)</f>
        <v>N/A</v>
      </c>
      <c r="I26" s="529" t="str">
        <f>IF($D$14&lt;&gt;I$14,"N/A",'Reduced Test'!$C$70)</f>
        <v>N/A</v>
      </c>
      <c r="J26" s="853"/>
      <c r="K26" s="854"/>
      <c r="L26" s="866" t="s">
        <v>218</v>
      </c>
      <c r="Q26" s="131"/>
    </row>
    <row r="27" spans="2:17" ht="17" thickBot="1" x14ac:dyDescent="0.45">
      <c r="B27" s="733" t="s">
        <v>434</v>
      </c>
      <c r="C27" s="734" t="s">
        <v>503</v>
      </c>
      <c r="D27" s="735" t="str">
        <f>IF(OR($D$14="Unknown",D14="11.1"),"11.2",$D$14) &amp; ".3"</f>
        <v>11.2.3</v>
      </c>
      <c r="E27" s="884"/>
      <c r="F27" s="1218" t="str">
        <f>IF($D$14&lt;&gt;F$14,"N/A",IFERROR(F20+(F21/F26),""))</f>
        <v>N/A</v>
      </c>
      <c r="G27" s="902"/>
      <c r="H27" s="901" t="str">
        <f>IF($D$14&lt;&gt;H$14,"N/A",IFERROR(H20+(H21/H26),""))</f>
        <v>N/A</v>
      </c>
      <c r="I27" s="901" t="str">
        <f>IF($D$14&lt;&gt;I$14,"N/A",IFERROR(I20+(I21/I26),""))</f>
        <v>N/A</v>
      </c>
      <c r="J27" s="903"/>
      <c r="K27" s="888"/>
      <c r="L27" s="739" t="s">
        <v>178</v>
      </c>
      <c r="Q27" s="131"/>
    </row>
    <row r="28" spans="2:17" ht="16" thickBot="1" x14ac:dyDescent="0.45">
      <c r="B28" s="863"/>
      <c r="C28" s="835"/>
      <c r="D28" s="835"/>
      <c r="E28" s="835"/>
      <c r="F28" s="522"/>
      <c r="G28" s="522"/>
      <c r="H28" s="522"/>
      <c r="I28" s="522"/>
      <c r="J28" s="835"/>
      <c r="K28" s="835"/>
      <c r="L28" s="864"/>
      <c r="Q28" s="131"/>
    </row>
    <row r="29" spans="2:17" x14ac:dyDescent="0.4">
      <c r="B29" s="880" t="s">
        <v>916</v>
      </c>
      <c r="C29" s="881"/>
      <c r="D29" s="881"/>
      <c r="E29" s="881"/>
      <c r="F29" s="882"/>
      <c r="G29" s="882"/>
      <c r="H29" s="882"/>
      <c r="I29" s="882"/>
      <c r="J29" s="882"/>
      <c r="K29" s="882"/>
      <c r="L29" s="883"/>
      <c r="Q29" s="131"/>
    </row>
    <row r="30" spans="2:17" x14ac:dyDescent="0.4">
      <c r="B30" s="867" t="str">
        <f>IF(AND('General Info &amp; Test Results'!C44="Yes",
OR(NOT(ISERROR(FIND("Fuel Oil",'General Info &amp; Test Results'!C37))),
AND(NOT(ISERROR(FIND("Gas",'General Info &amp; Test Results'!C37))),'General Info &amp; Test Results'!C40="Power"))),
"Use test data to calculate S/F?","NOT REQUIRED FOR THIS TEST")</f>
        <v>NOT REQUIRED FOR THIS TEST</v>
      </c>
      <c r="C30" s="849" t="s">
        <v>178</v>
      </c>
      <c r="D30" s="850" t="str">
        <f>IF(OR($D$14="Unknown",D14="11.1"),"11.2",$D$14) &amp; ".4"</f>
        <v>11.2.4</v>
      </c>
      <c r="E30" s="851"/>
      <c r="F30" s="512"/>
      <c r="G30" s="855"/>
      <c r="H30" s="512"/>
      <c r="I30" s="512"/>
      <c r="J30" s="853"/>
      <c r="K30" s="854"/>
      <c r="L30" s="866" t="s">
        <v>178</v>
      </c>
      <c r="Q30" s="131"/>
    </row>
    <row r="31" spans="2:17" ht="16" thickBot="1" x14ac:dyDescent="0.45">
      <c r="B31" s="733" t="s">
        <v>436</v>
      </c>
      <c r="C31" s="734" t="s">
        <v>60</v>
      </c>
      <c r="D31" s="735" t="str">
        <f>IF(OR($D$14="Unknown",D14="11.1"),"11.2",$D$14) &amp; ".4"</f>
        <v>11.2.4</v>
      </c>
      <c r="E31" s="884"/>
      <c r="F31" s="899" t="str">
        <f>IF($D$14&lt;&gt;F$14,"N/A",
IF(OR('General Info &amp; Test Results'!$C$37="",'General Info &amp; Test Results'!$C$43="",'General Info &amp; Test Results'!$C$40=""),"",
IF(AND('General Info &amp; Test Results'!$C$37&lt;&gt;"Electricity",'General Info &amp; Test Results'!$C$43="Direct Exhaust"),1,
IF(OR(NOT(ISERROR(FIND("Fuel Oil",'General Info &amp; Test Results'!$C$37))),AND(NOT(ISERROR(FIND("Gas",'General Info &amp; Test Results'!$C$37))),'General Info &amp; Test Results'!$C$40="Power")),
IF(OR('General Info &amp; Test Results'!$C$44="No",'General Info &amp; Test Results'!$C$44=""),1.4,IF(OR(F30="No",F30=""),1.4,F27/F23)),
1.3*F27/F23))))</f>
        <v>N/A</v>
      </c>
      <c r="G31" s="898" t="str">
        <f>IF($D$14&lt;&gt;G$14,"N/A",1)</f>
        <v>N/A</v>
      </c>
      <c r="H31" s="900" t="str">
        <f>IF($D$14&lt;&gt;H$14,"N/A",
IF(OR('General Info &amp; Test Results'!$C$37="",'General Info &amp; Test Results'!$C$43="",'General Info &amp; Test Results'!$C$40=""),"",
IF(AND('General Info &amp; Test Results'!$C$37&lt;&gt;"Electricity",'General Info &amp; Test Results'!$C$43="Direct Exhaust"),1,
IF(OR(NOT(ISERROR(FIND("Fuel Oil",'General Info &amp; Test Results'!$C$37))),AND(NOT(ISERROR(FIND("Gas",'General Info &amp; Test Results'!$C$37))),'General Info &amp; Test Results'!$C$40="Power")),
IF(OR('General Info &amp; Test Results'!$C$44="No",'General Info &amp; Test Results'!$C$44=""),1.4,IF(OR(H30="No",H30=""),1.4,H27/H23)),
1.3*H27/H23))))</f>
        <v>N/A</v>
      </c>
      <c r="I31" s="900" t="str">
        <f>IF($D$14&lt;&gt;I$14,"N/A",
IF(OR('General Info &amp; Test Results'!$C$37="",'General Info &amp; Test Results'!$C$43="",'General Info &amp; Test Results'!$C$40=""),"",
IF(AND('General Info &amp; Test Results'!$C$37&lt;&gt;"Electricity",'General Info &amp; Test Results'!$C$43="Direct Exhaust"),1,
IF(OR(NOT(ISERROR(FIND("Fuel Oil",'General Info &amp; Test Results'!$C$37))),AND(NOT(ISERROR(FIND("Gas",'General Info &amp; Test Results'!$C$37))),'General Info &amp; Test Results'!$C$40="Power")),
IF(OR('General Info &amp; Test Results'!$C$44="No",'General Info &amp; Test Results'!$C$44=""),1.4,IF(OR(I30="No",I30=""),1.4,I27/I23)),
1.3*I27/I23))))</f>
        <v>N/A</v>
      </c>
      <c r="J31" s="898" t="str">
        <f>IF($D$14&lt;&gt;J$14,"N/A",1)</f>
        <v>N/A</v>
      </c>
      <c r="K31" s="898" t="str">
        <f>IF($D$14&lt;&gt;K$14,"N/A",1)</f>
        <v>N/A</v>
      </c>
      <c r="L31" s="739" t="s">
        <v>178</v>
      </c>
      <c r="Q31" s="131"/>
    </row>
    <row r="32" spans="2:17" ht="16" thickBot="1" x14ac:dyDescent="0.45">
      <c r="B32" s="863"/>
      <c r="C32" s="835"/>
      <c r="D32" s="835"/>
      <c r="E32" s="835"/>
      <c r="F32" s="840"/>
      <c r="G32" s="548"/>
      <c r="H32" s="548"/>
      <c r="I32" s="548"/>
      <c r="J32" s="548"/>
      <c r="K32" s="548"/>
      <c r="L32" s="864"/>
      <c r="Q32" s="131"/>
    </row>
    <row r="33" spans="2:17" x14ac:dyDescent="0.4">
      <c r="B33" s="880" t="s">
        <v>917</v>
      </c>
      <c r="C33" s="881"/>
      <c r="D33" s="881"/>
      <c r="E33" s="881"/>
      <c r="F33" s="882"/>
      <c r="G33" s="882"/>
      <c r="H33" s="882"/>
      <c r="I33" s="882"/>
      <c r="J33" s="882"/>
      <c r="K33" s="882"/>
      <c r="L33" s="883"/>
      <c r="Q33" s="131"/>
    </row>
    <row r="34" spans="2:17" ht="16.5" x14ac:dyDescent="0.4">
      <c r="B34" s="865" t="s">
        <v>448</v>
      </c>
      <c r="C34" s="856" t="s">
        <v>504</v>
      </c>
      <c r="D34" s="850" t="str">
        <f>IF(OR($D$14="Unknown",D14="11.1"),"11.2",$D$14) &amp; ".5"</f>
        <v>11.2.5</v>
      </c>
      <c r="E34" s="851"/>
      <c r="F34" s="200" t="str">
        <f>IF($D$14&lt;&gt;F$14,"N/A",'Max Test'!$C$66)</f>
        <v>N/A</v>
      </c>
      <c r="G34" s="200" t="str">
        <f>IF($D$14&lt;&gt;G$14,"N/A",'Max Test'!$C$66)</f>
        <v>N/A</v>
      </c>
      <c r="H34" s="200" t="str">
        <f>IF($D$14&lt;&gt;H$14,"N/A",'Max Test'!$C$66)</f>
        <v>N/A</v>
      </c>
      <c r="I34" s="200" t="str">
        <f>IF($D$14&lt;&gt;I$14,"N/A",'Reduced Test'!$C$66)</f>
        <v>N/A</v>
      </c>
      <c r="J34" s="200" t="str">
        <f>IF($D$14&lt;&gt;J$14,"N/A",'Max Test'!$C$66)</f>
        <v>N/A</v>
      </c>
      <c r="K34" s="200" t="str">
        <f>IF($D$14&lt;&gt;K$14,"N/A",'Reduced Test'!$C$66)</f>
        <v>N/A</v>
      </c>
      <c r="L34" s="866" t="s">
        <v>51</v>
      </c>
      <c r="Q34" s="131"/>
    </row>
    <row r="35" spans="2:17" ht="16.5" x14ac:dyDescent="0.4">
      <c r="B35" s="732" t="s">
        <v>447</v>
      </c>
      <c r="C35" s="521" t="s">
        <v>505</v>
      </c>
      <c r="D35" s="659" t="str">
        <f>IF(OR($D$14="Unknown",D14="11.1"),"11.2",$D$14) &amp; ".5"</f>
        <v>11.2.5</v>
      </c>
      <c r="E35" s="715"/>
      <c r="F35" s="530" t="str">
        <f>IF($D$14&lt;&gt;F$14,"N/A",'Max Test'!$C$69)</f>
        <v>N/A</v>
      </c>
      <c r="G35" s="518" t="str">
        <f>'Max Test'!$C$69</f>
        <v/>
      </c>
      <c r="H35" s="530" t="str">
        <f>IF($D$14&lt;&gt;H$14,"N/A",'Max Test'!$C$69)</f>
        <v>N/A</v>
      </c>
      <c r="I35" s="530" t="str">
        <f>IF($D$14&lt;&gt;I$14,"N/A",'Reduced Test'!$C$69)</f>
        <v>N/A</v>
      </c>
      <c r="J35" s="518" t="str">
        <f>'Max Test'!$C$69</f>
        <v/>
      </c>
      <c r="K35" s="1236" t="str">
        <f>'Reduced Test'!$C$69</f>
        <v/>
      </c>
      <c r="L35" s="658" t="s">
        <v>51</v>
      </c>
      <c r="Q35" s="131"/>
    </row>
    <row r="36" spans="2:17" ht="16.5" x14ac:dyDescent="0.4">
      <c r="B36" s="732" t="s">
        <v>437</v>
      </c>
      <c r="C36" s="521" t="s">
        <v>506</v>
      </c>
      <c r="D36" s="659" t="str">
        <f>IF(OR($D$14="Unknown",D14="11.1"),"11.2",$D$14) &amp; ".5"</f>
        <v>11.2.5</v>
      </c>
      <c r="E36" s="715"/>
      <c r="F36" s="547" t="str">
        <f>IF($D$14&lt;&gt;F$14,"N/A",IF('General Info &amp; Test Results'!$C$43="Integral Draft Diverter",F35-F34,"N/A"))</f>
        <v>N/A</v>
      </c>
      <c r="G36" s="548"/>
      <c r="H36" s="549" t="str">
        <f>IF($D$14&lt;&gt;H$14,"N/A",H35-H34)</f>
        <v>N/A</v>
      </c>
      <c r="I36" s="549" t="str">
        <f>IF($D$14&lt;&gt;I$14,"N/A",I35-I34)</f>
        <v>N/A</v>
      </c>
      <c r="J36" s="140"/>
      <c r="K36" s="716"/>
      <c r="L36" s="137" t="s">
        <v>51</v>
      </c>
      <c r="Q36" s="131"/>
    </row>
    <row r="37" spans="2:17" ht="16.5" x14ac:dyDescent="0.4">
      <c r="B37" s="732" t="s">
        <v>449</v>
      </c>
      <c r="C37" s="521" t="s">
        <v>507</v>
      </c>
      <c r="D37" s="659" t="str">
        <f>IF(OR($D$14="Unknown",D14="11.1"),"11.2",$D$14) &amp; ".5"</f>
        <v>11.2.5</v>
      </c>
      <c r="E37" s="715"/>
      <c r="F37" s="200" t="str">
        <f>IF($D$14&lt;&gt;F$14,"N/A",'Max Test'!$C$67)</f>
        <v>N/A</v>
      </c>
      <c r="G37" s="200" t="str">
        <f>IF($D$14&lt;&gt;G$14,"N/A",'Max Test'!$C$67)</f>
        <v>N/A</v>
      </c>
      <c r="H37" s="200" t="str">
        <f>IF($D$14&lt;&gt;H$14,"N/A",'Max Test'!$C$67)</f>
        <v>N/A</v>
      </c>
      <c r="I37" s="200" t="str">
        <f>IF($D$14&lt;&gt;I$14,"N/A",'Reduced Test'!$C$67)</f>
        <v>N/A</v>
      </c>
      <c r="J37" s="200" t="str">
        <f>IF($D$14&lt;&gt;J$14,"N/A",'Max Test'!$C$67)</f>
        <v>N/A</v>
      </c>
      <c r="K37" s="200" t="str">
        <f>IF($D$14&lt;&gt;K$14,"N/A",'Reduced Test'!$C$67)</f>
        <v>N/A</v>
      </c>
      <c r="L37" s="137" t="s">
        <v>51</v>
      </c>
      <c r="Q37" s="131"/>
    </row>
    <row r="38" spans="2:17" ht="17" thickBot="1" x14ac:dyDescent="0.45">
      <c r="B38" s="896" t="s">
        <v>438</v>
      </c>
      <c r="C38" s="897" t="s">
        <v>508</v>
      </c>
      <c r="D38" s="735" t="str">
        <f>IF(OR($D$14="Unknown",D14="11.1"),"11.2",$D$14) &amp; ".5"</f>
        <v>11.2.5</v>
      </c>
      <c r="E38" s="884"/>
      <c r="F38" s="898" t="str">
        <f>IF($D$14&lt;&gt;F$14,"N/A",IF('General Info &amp; Test Results'!$C$43="Integral Draft Diverter","",F37-F34))</f>
        <v>N/A</v>
      </c>
      <c r="G38" s="898" t="str">
        <f>IF($D$14&lt;&gt;G$14,"N/A",G37-G34)</f>
        <v>N/A</v>
      </c>
      <c r="H38" s="898" t="str">
        <f>IF($D$14&lt;&gt;H$14,"N/A",IF('General Info &amp; Test Results'!$C$43="Integral Draft Diverter","",H37-H34))</f>
        <v>N/A</v>
      </c>
      <c r="I38" s="898" t="str">
        <f>IF($D$14&lt;&gt;I$14,"N/A",IF('General Info &amp; Test Results'!$C$43="Integral Draft Diverter","",I37-I34))</f>
        <v>N/A</v>
      </c>
      <c r="J38" s="898" t="str">
        <f>IF($D$14&lt;&gt;J$14,"N/A",IF('General Info &amp; Test Results'!$C$43="Integral Draft Diverter","",J37-J34))</f>
        <v>N/A</v>
      </c>
      <c r="K38" s="898" t="str">
        <f>IF($D$14&lt;&gt;K$14,"N/A",IF('General Info &amp; Test Results'!$C$43="Integral Draft Diverter","",K37-K34))</f>
        <v>N/A</v>
      </c>
      <c r="L38" s="739" t="s">
        <v>51</v>
      </c>
      <c r="Q38" s="131"/>
    </row>
    <row r="39" spans="2:17" ht="16" thickBot="1" x14ac:dyDescent="0.45">
      <c r="B39" s="863"/>
      <c r="C39" s="835"/>
      <c r="D39" s="835"/>
      <c r="E39" s="835"/>
      <c r="F39" s="548"/>
      <c r="G39" s="548"/>
      <c r="H39" s="548"/>
      <c r="I39" s="548"/>
      <c r="J39" s="548"/>
      <c r="K39" s="548"/>
      <c r="L39" s="864"/>
      <c r="Q39" s="131"/>
    </row>
    <row r="40" spans="2:17" x14ac:dyDescent="0.4">
      <c r="B40" s="880" t="s">
        <v>439</v>
      </c>
      <c r="C40" s="881"/>
      <c r="D40" s="881"/>
      <c r="E40" s="881"/>
      <c r="F40" s="882"/>
      <c r="G40" s="882"/>
      <c r="H40" s="882"/>
      <c r="I40" s="882"/>
      <c r="J40" s="882"/>
      <c r="K40" s="882"/>
      <c r="L40" s="883"/>
      <c r="Q40" s="131"/>
    </row>
    <row r="41" spans="2:17" ht="16.5" x14ac:dyDescent="0.4">
      <c r="B41" s="865" t="s">
        <v>554</v>
      </c>
      <c r="C41" s="856" t="s">
        <v>516</v>
      </c>
      <c r="D41" s="850" t="str">
        <f>IF(OR($D$14="Unknown",D14="11.1"),"11.2",$D$14) &amp; ".6"</f>
        <v>11.2.6</v>
      </c>
      <c r="E41" s="851"/>
      <c r="F41" s="124" t="str">
        <f>IF($D$14&lt;&gt;F$14,"N/A",'Drop-Downs and Tables'!$C$188)</f>
        <v>N/A</v>
      </c>
      <c r="G41" s="124" t="str">
        <f>IF($D$14&lt;&gt;G$14,"N/A",'Drop-Downs and Tables'!$C$188)</f>
        <v>N/A</v>
      </c>
      <c r="H41" s="124" t="str">
        <f>IF($D$14&lt;&gt;H$14,"N/A",'Drop-Downs and Tables'!$C$188)</f>
        <v>N/A</v>
      </c>
      <c r="I41" s="124" t="str">
        <f>IF($D$14&lt;&gt;I$14,"N/A",'Drop-Downs and Tables'!$C$188)</f>
        <v>N/A</v>
      </c>
      <c r="J41" s="124" t="str">
        <f>IF($D$14&lt;&gt;J$14,"N/A",'Drop-Downs and Tables'!$C$188)</f>
        <v>N/A</v>
      </c>
      <c r="K41" s="124" t="str">
        <f>IF($D$14&lt;&gt;K$14,"N/A",'Drop-Downs and Tables'!$C$188)</f>
        <v>N/A</v>
      </c>
      <c r="L41" s="866" t="s">
        <v>245</v>
      </c>
      <c r="Q41" s="131"/>
    </row>
    <row r="42" spans="2:17" x14ac:dyDescent="0.4">
      <c r="B42" s="732" t="s">
        <v>552</v>
      </c>
      <c r="C42" s="521" t="s">
        <v>43</v>
      </c>
      <c r="D42" s="659" t="str">
        <f>IF(OR($D$14="Unknown",D14="11.1"),"11.2",$D$14) &amp; ".6"</f>
        <v>11.2.6</v>
      </c>
      <c r="E42" s="715"/>
      <c r="F42" s="124" t="str">
        <f>IF($D$14&lt;&gt;F$14,"N/A",'Drop-Downs and Tables'!$D$188)</f>
        <v>N/A</v>
      </c>
      <c r="G42" s="124" t="str">
        <f>IF($D$14&lt;&gt;G$14,"N/A",'Drop-Downs and Tables'!$D$188)</f>
        <v>N/A</v>
      </c>
      <c r="H42" s="124" t="str">
        <f>IF($D$14&lt;&gt;H$14,"N/A",'Drop-Downs and Tables'!$D$188)</f>
        <v>N/A</v>
      </c>
      <c r="I42" s="124" t="str">
        <f>IF($D$14&lt;&gt;I$14,"N/A",'Drop-Downs and Tables'!$D$188)</f>
        <v>N/A</v>
      </c>
      <c r="J42" s="124" t="str">
        <f>IF($D$14&lt;&gt;J$14,"N/A",'Drop-Downs and Tables'!$D$188)</f>
        <v>N/A</v>
      </c>
      <c r="K42" s="124" t="str">
        <f>IF($D$14&lt;&gt;K$14,"N/A",'Drop-Downs and Tables'!$D$188)</f>
        <v>N/A</v>
      </c>
      <c r="L42" s="137" t="s">
        <v>178</v>
      </c>
      <c r="Q42" s="131"/>
    </row>
    <row r="43" spans="2:17" ht="17" thickBot="1" x14ac:dyDescent="0.45">
      <c r="B43" s="733" t="s">
        <v>439</v>
      </c>
      <c r="C43" s="734" t="s">
        <v>509</v>
      </c>
      <c r="D43" s="735" t="str">
        <f>IF(OR($D$14="Unknown",D14="11.1"),"11.2",$D$14) &amp; ".6"</f>
        <v>11.2.6</v>
      </c>
      <c r="E43" s="884"/>
      <c r="F43" s="895" t="str">
        <f t="array" ref="F43">IF($D$14&lt;&gt;F$14,"N/A",
100/F41*
(SUM(((1+F42)*('Drop-Downs and Tables'!$H$188:$L$188)+F42*(IF(F27="",F23,F27)-1)*('Drop-Downs and Tables'!$H$187:$L$187))*((IF(F35="",F37,F35) + 460)^('Drop-Downs and Tables'!$H$179:$L$179)-(F34+460)^('Drop-Downs and Tables'!$H$179:$L$179)))))</f>
        <v>N/A</v>
      </c>
      <c r="G43" s="895" t="str">
        <f t="array" ref="G43">IF($D$14&lt;&gt;G$14,"N/A",
100/G41*
(SUM(((1+G42)*('Drop-Downs and Tables'!$H$188:$L$188)+G42*(G23-1)*('Drop-Downs and Tables'!$H$187:$L$187))*((G38 + 460)^('Drop-Downs and Tables'!$H$179:$L$179)-(G34+460)^('Drop-Downs and Tables'!$H$179:$L$179)))))</f>
        <v>N/A</v>
      </c>
      <c r="H43" s="895" t="str">
        <f t="array" ref="H43">IF($D$14&lt;&gt;H$14,"N/A",
100/H41*
(SUM(((1+H42)*('Drop-Downs and Tables'!$H$188:$L$188)+H42*(IF(H27="",H23,H27)-1)*('Drop-Downs and Tables'!$H$187:$L$187))*((IF(H35="",H37,H35) + 460)^('Drop-Downs and Tables'!$H$179:$L$179)-(H34+460)^('Drop-Downs and Tables'!$H$179:$L$179)))))</f>
        <v>N/A</v>
      </c>
      <c r="I43" s="895" t="str">
        <f t="array" ref="I43">IF($D$14&lt;&gt;I$14,"N/A",
100/I41*
(SUM(((1+I42)*('Drop-Downs and Tables'!$H$188:$L$188)+I42*(IF(I27="",I23,I27)-1)*('Drop-Downs and Tables'!$H$187:$L$187))*((IF(I35="",I37,I35) + 460)^('Drop-Downs and Tables'!$H$179:$L$179)-(I34+460)^('Drop-Downs and Tables'!$H$179:$L$179)))))</f>
        <v>N/A</v>
      </c>
      <c r="J43" s="895" t="str">
        <f t="array" ref="J43">IF($D$14&lt;&gt;J$14,"N/A",
100/J41*
(SUM(((1+J42)*('Drop-Downs and Tables'!$H$188:$L$188)+J42*(J23-1)*('Drop-Downs and Tables'!$H$187:$L$187))*((J38 + 460)^('Drop-Downs and Tables'!$H$179:$L$179)-(J34+460)^('Drop-Downs and Tables'!$H$179:$L$179)))))</f>
        <v>N/A</v>
      </c>
      <c r="K43" s="895" t="str">
        <f t="array" ref="K43">IF($D$14&lt;&gt;K$14,"N/A",
100/K41*
(SUM(((1+K42)*('Drop-Downs and Tables'!$H$188:$L$188)+K42*(K23-1)*('Drop-Downs and Tables'!$H$187:$L$187))*((K38 + 460)^('Drop-Downs and Tables'!$H$179:$L$179)-(K34+460)^('Drop-Downs and Tables'!$H$179:$L$179)))))</f>
        <v>N/A</v>
      </c>
      <c r="L43" s="739" t="s">
        <v>218</v>
      </c>
      <c r="Q43" s="131"/>
    </row>
    <row r="44" spans="2:17" ht="16" thickBot="1" x14ac:dyDescent="0.45">
      <c r="B44" s="863"/>
      <c r="C44" s="835"/>
      <c r="D44" s="835"/>
      <c r="E44" s="835"/>
      <c r="F44" s="841"/>
      <c r="G44" s="841"/>
      <c r="H44" s="841"/>
      <c r="I44" s="841"/>
      <c r="J44" s="841"/>
      <c r="K44" s="841"/>
      <c r="L44" s="864"/>
      <c r="Q44" s="131"/>
    </row>
    <row r="45" spans="2:17" x14ac:dyDescent="0.4">
      <c r="B45" s="880" t="s">
        <v>440</v>
      </c>
      <c r="C45" s="881"/>
      <c r="D45" s="881"/>
      <c r="E45" s="881"/>
      <c r="F45" s="882"/>
      <c r="G45" s="882"/>
      <c r="H45" s="882"/>
      <c r="I45" s="882"/>
      <c r="J45" s="882"/>
      <c r="K45" s="882"/>
      <c r="L45" s="883"/>
      <c r="Q45" s="131"/>
    </row>
    <row r="46" spans="2:17" ht="16.5" x14ac:dyDescent="0.4">
      <c r="B46" s="867" t="s">
        <v>553</v>
      </c>
      <c r="C46" s="849" t="s">
        <v>519</v>
      </c>
      <c r="D46" s="850" t="str">
        <f>IF(OR($D$14="Unknown",D14="11.1"),"11.2",$D$14) &amp; ".7"</f>
        <v>11.2.7</v>
      </c>
      <c r="E46" s="851"/>
      <c r="F46" s="195" t="str">
        <f>IF($D$14&lt;&gt;F$14,"N/A",'Drop-Downs and Tables'!$E$188)</f>
        <v>N/A</v>
      </c>
      <c r="G46" s="195" t="str">
        <f>IF($D$14&lt;&gt;G$14,"N/A",'Drop-Downs and Tables'!$E$188)</f>
        <v>N/A</v>
      </c>
      <c r="H46" s="195" t="str">
        <f>IF($D$14&lt;&gt;H$14,"N/A",'Drop-Downs and Tables'!$E$188)</f>
        <v>N/A</v>
      </c>
      <c r="I46" s="195" t="str">
        <f>IF($D$14&lt;&gt;I$14,"N/A",'Drop-Downs and Tables'!$E$188)</f>
        <v>N/A</v>
      </c>
      <c r="J46" s="195" t="str">
        <f>IF($D$14&lt;&gt;J$14,"N/A",'Drop-Downs and Tables'!$E$188)</f>
        <v>N/A</v>
      </c>
      <c r="K46" s="195" t="str">
        <f>IF($D$14&lt;&gt;K$14,"N/A",'Drop-Downs and Tables'!$E$188)</f>
        <v>N/A</v>
      </c>
      <c r="L46" s="866" t="s">
        <v>218</v>
      </c>
      <c r="Q46" s="131"/>
    </row>
    <row r="47" spans="2:17" ht="31" x14ac:dyDescent="0.4">
      <c r="B47" s="731" t="s">
        <v>260</v>
      </c>
      <c r="C47" s="136" t="s">
        <v>496</v>
      </c>
      <c r="D47" s="713" t="str">
        <f>IF($D$14="11.3","11.3.7.1",
IF($D$14="11.5","11.5.7.1",
"11.(3 or 5).7.1"))</f>
        <v>11.(3 or 5).7.1</v>
      </c>
      <c r="E47" s="715"/>
      <c r="F47" s="518"/>
      <c r="G47" s="124" t="str">
        <f>IF($D$14&lt;&gt;G$14,"N/A",IF('Max Test'!$C$100="","",'Max Test'!$C$100))</f>
        <v>N/A</v>
      </c>
      <c r="H47" s="518"/>
      <c r="I47" s="518"/>
      <c r="J47" s="124" t="str">
        <f>IF($D$14&lt;&gt;J$14,"N/A",IF('Max Test'!$C$100="","",'Max Test'!$C$100))</f>
        <v>N/A</v>
      </c>
      <c r="K47" s="124" t="str">
        <f>IF($D$14&lt;&gt;K$14,"N/A",IF('Reduced Test'!$C$100="","",'Reduced Test'!$C$100))</f>
        <v>N/A</v>
      </c>
      <c r="L47" s="137" t="s">
        <v>76</v>
      </c>
      <c r="Q47" s="131"/>
    </row>
    <row r="48" spans="2:17" ht="17.5" x14ac:dyDescent="0.4">
      <c r="B48" s="731" t="s">
        <v>259</v>
      </c>
      <c r="C48" s="136" t="s">
        <v>497</v>
      </c>
      <c r="D48" s="713" t="str">
        <f>IF($D$14="11.3","11.3.7.1",
IF($D$14="11.5","11.5.7.1",
"11.(3 or 5).7.1"))</f>
        <v>11.(3 or 5).7.1</v>
      </c>
      <c r="E48" s="715"/>
      <c r="F48" s="518"/>
      <c r="G48" s="124" t="str">
        <f>IF($D$14&lt;&gt;G$14,"N/A",IF('Max Test'!$C$97="","",'Max Test'!$C$97))</f>
        <v>N/A</v>
      </c>
      <c r="H48" s="518"/>
      <c r="I48" s="518"/>
      <c r="J48" s="124" t="str">
        <f>IF($D$14&lt;&gt;J$14,"N/A",IF('Max Test'!$C$97="","",'Max Test'!$C$97))</f>
        <v>N/A</v>
      </c>
      <c r="K48" s="124" t="str">
        <f>IF($D$14&lt;&gt;K$14,"N/A",IF('Reduced Test'!$C$97="","",'Reduced Test'!$C$97))</f>
        <v>N/A</v>
      </c>
      <c r="L48" s="137" t="s">
        <v>80</v>
      </c>
      <c r="Q48" s="131"/>
    </row>
    <row r="49" spans="2:17" ht="17.5" x14ac:dyDescent="0.4">
      <c r="B49" s="731" t="s">
        <v>495</v>
      </c>
      <c r="C49" s="136" t="s">
        <v>494</v>
      </c>
      <c r="D49" s="713" t="str">
        <f>IF($D$14="11.3","11.3.7.1",
IF($D$14="11.5","11.5.7.1",
"11.(3 or 5).7.1"))</f>
        <v>11.(3 or 5).7.1</v>
      </c>
      <c r="E49" s="715"/>
      <c r="F49" s="518"/>
      <c r="G49" s="124" t="str">
        <f>IF($D$14&lt;&gt;G$14,"N/A",IFERROR(100*1053.3*G47/G48,""))</f>
        <v>N/A</v>
      </c>
      <c r="H49" s="518"/>
      <c r="I49" s="518"/>
      <c r="J49" s="124" t="str">
        <f>IF($D$14&lt;&gt;J$14,"N/A",IFERROR(100*1053.3*J47/J48,""))</f>
        <v>N/A</v>
      </c>
      <c r="K49" s="124" t="str">
        <f>IF($D$14&lt;&gt;K$14,"N/A",IFERROR(100*1053.3*K47/K48,""))</f>
        <v>N/A</v>
      </c>
      <c r="L49" s="137" t="s">
        <v>218</v>
      </c>
      <c r="Q49" s="131"/>
    </row>
    <row r="50" spans="2:17" ht="17.5" x14ac:dyDescent="0.4">
      <c r="B50" s="731" t="str">
        <f>"Steady-State Heat Loss Due to Hot Condensate Going Down the Drain" &amp; IF(D14="11.5","-at 42F, not TOA,H and TOA,R due to circular reference in TP","")</f>
        <v>Steady-State Heat Loss Due to Hot Condensate Going Down the Drain</v>
      </c>
      <c r="C50" s="136" t="s">
        <v>498</v>
      </c>
      <c r="D50" s="713" t="str">
        <f>IF($D$14="11.3","11.3.7.2",
IF($D$14="11.5","11.5.7.2",
"11.(3 or 5).7.2"))</f>
        <v>11.(3 or 5).7.2</v>
      </c>
      <c r="E50" s="715"/>
      <c r="F50" s="518"/>
      <c r="G50" s="124" t="str">
        <f>IF($D$14&lt;&gt;G$14,"N/A",IFERROR(G49*(1*(G37-70)-0.45*(G37-G60))/1053.3,""))</f>
        <v>N/A</v>
      </c>
      <c r="H50" s="518"/>
      <c r="I50" s="518"/>
      <c r="J50" s="124" t="str">
        <f>IF($D$14&lt;&gt;J$14,"N/A",IFERROR(J49*(1*(J37-70)-0.45*(J37-J60))/1053.3,""))</f>
        <v>N/A</v>
      </c>
      <c r="K50" s="124" t="str">
        <f>IF($D$14&lt;&gt;K$14,"N/A",IFERROR(K49*(1*(K37-70)-0.45*(K37-K60))/1053.3,""))</f>
        <v>N/A</v>
      </c>
      <c r="L50" s="137" t="s">
        <v>218</v>
      </c>
      <c r="Q50" s="131"/>
    </row>
    <row r="51" spans="2:17" ht="17" thickBot="1" x14ac:dyDescent="0.45">
      <c r="B51" s="733" t="s">
        <v>440</v>
      </c>
      <c r="C51" s="734" t="s">
        <v>510</v>
      </c>
      <c r="D51" s="735" t="str">
        <f>IF(OR($D$14="Unknown",D14="11.1"),"11.2",$D$14) &amp; ".7"</f>
        <v>11.2.7</v>
      </c>
      <c r="E51" s="890" t="str">
        <f>IF($D$14&lt;&gt;$E$14,"N/A",100)</f>
        <v>N/A</v>
      </c>
      <c r="F51" s="1219" t="str">
        <f>IF($D$14&lt;&gt;F$14,"N/A",IFERROR(100-F46-F43,""))</f>
        <v>N/A</v>
      </c>
      <c r="G51" s="892" t="str">
        <f>IF($D$14&lt;&gt;G$14,"N/A",IFERROR(100-(G46+G43-G49+G50),""))</f>
        <v>N/A</v>
      </c>
      <c r="H51" s="891" t="str">
        <f>IF($D$14&lt;&gt;H$14,"N/A",IFERROR(100-H46-H43,""))</f>
        <v>N/A</v>
      </c>
      <c r="I51" s="891" t="str">
        <f>IF($D$14&lt;&gt;I$14,"N/A",IFERROR(100-I46-I43,""))</f>
        <v>N/A</v>
      </c>
      <c r="J51" s="893" t="str">
        <f>IF($D$14&lt;&gt;J$14,"N/A",IFERROR(100-(J46+J43-J49+J50),""))</f>
        <v>N/A</v>
      </c>
      <c r="K51" s="894" t="str">
        <f>IF($D$14&lt;&gt;K$14,"N/A",IFERROR(100-(K46+K43-K49+K50),""))</f>
        <v>N/A</v>
      </c>
      <c r="L51" s="739" t="s">
        <v>218</v>
      </c>
      <c r="Q51" s="131"/>
    </row>
    <row r="52" spans="2:17" ht="16" thickBot="1" x14ac:dyDescent="0.45">
      <c r="B52" s="863"/>
      <c r="C52" s="835"/>
      <c r="D52" s="835"/>
      <c r="E52" s="842"/>
      <c r="F52" s="843"/>
      <c r="G52" s="844"/>
      <c r="H52" s="843"/>
      <c r="I52" s="843"/>
      <c r="J52" s="844"/>
      <c r="K52" s="844"/>
      <c r="L52" s="864"/>
      <c r="Q52" s="131"/>
    </row>
    <row r="53" spans="2:17" x14ac:dyDescent="0.4">
      <c r="B53" s="880" t="s">
        <v>918</v>
      </c>
      <c r="C53" s="881"/>
      <c r="D53" s="881"/>
      <c r="E53" s="881"/>
      <c r="F53" s="882"/>
      <c r="G53" s="882"/>
      <c r="H53" s="882"/>
      <c r="I53" s="882"/>
      <c r="J53" s="882"/>
      <c r="K53" s="882"/>
      <c r="L53" s="883"/>
      <c r="Q53" s="131"/>
    </row>
    <row r="54" spans="2:17" ht="16.5" x14ac:dyDescent="0.4">
      <c r="B54" s="867" t="s">
        <v>441</v>
      </c>
      <c r="C54" s="849" t="s">
        <v>511</v>
      </c>
      <c r="D54" s="850" t="str">
        <f>IF(OR($D$14="Unknown",D14="11.1"),"11.2",$D$14) &amp; ".8.1"</f>
        <v>11.2.8.1</v>
      </c>
      <c r="E54" s="532" t="str">
        <f>IF($D$14&lt;&gt;$E$14,"N/A",'General Info &amp; Test Results'!$C$29*3412.142)</f>
        <v>N/A</v>
      </c>
      <c r="F54" s="532" t="str">
        <f>IF($D$14&lt;&gt;F$14,"N/A",'General Info &amp; Test Results'!$C$29)</f>
        <v>N/A</v>
      </c>
      <c r="G54" s="532" t="str">
        <f>IF($D$14&lt;&gt;G$14,"N/A",'General Info &amp; Test Results'!$C$29)</f>
        <v>N/A</v>
      </c>
      <c r="H54" s="532" t="str">
        <f>IF($D$14&lt;&gt;H$14,"N/A",'General Info &amp; Test Results'!$C$29)</f>
        <v>N/A</v>
      </c>
      <c r="I54" s="532" t="str">
        <f>IF($D$14&lt;&gt;I$14,"N/A",'General Info &amp; Test Results'!$C$30)</f>
        <v>N/A</v>
      </c>
      <c r="J54" s="532" t="str">
        <f>IF($D$14&lt;&gt;J$14,"N/A",'General Info &amp; Test Results'!$C$29)</f>
        <v>N/A</v>
      </c>
      <c r="K54" s="532" t="str">
        <f>IF($D$14&lt;&gt;K$14,"N/A",'General Info &amp; Test Results'!$C$30)</f>
        <v>N/A</v>
      </c>
      <c r="L54" s="866" t="s">
        <v>37</v>
      </c>
      <c r="Q54" s="131"/>
    </row>
    <row r="55" spans="2:17" ht="16.5" x14ac:dyDescent="0.4">
      <c r="B55" s="731" t="s">
        <v>433</v>
      </c>
      <c r="C55" s="139" t="s">
        <v>512</v>
      </c>
      <c r="D55" s="659" t="str">
        <f>IF(D14="11.1","11.1",
IF($D$14="Unknown","11.2",$D$14) &amp; ".8.1")</f>
        <v>11.2.8.1</v>
      </c>
      <c r="E55" s="507" t="str">
        <f>IF($D$14&lt;&gt;E$14,"N/A",IF('Test Conditions'!$C$47="","",'Test Conditions'!$C$47))</f>
        <v>N/A</v>
      </c>
      <c r="F55" s="507" t="str">
        <f>IF($D$14&lt;&gt;F$14,"N/A",IF('Test Conditions'!$C$47="","",'Test Conditions'!$C$47))</f>
        <v>N/A</v>
      </c>
      <c r="G55" s="507" t="str">
        <f>IF($D$14&lt;&gt;G$14,"N/A",IF('Test Conditions'!$C$47="","",'Test Conditions'!$C$47))</f>
        <v>N/A</v>
      </c>
      <c r="H55" s="507" t="str">
        <f>IF($D$14&lt;&gt;H$14,"N/A",IF('Test Conditions'!$C$47="","",'Test Conditions'!$C$47))</f>
        <v>N/A</v>
      </c>
      <c r="I55" s="507" t="str">
        <f>IF($D$14&lt;&gt;I$14,"N/A",IF('Test Conditions'!$C$47="","",'Test Conditions'!$C$47))</f>
        <v>N/A</v>
      </c>
      <c r="J55" s="507" t="str">
        <f>IF($D$14&lt;&gt;J$14,"N/A",IF('Test Conditions'!$C$47="","",'Test Conditions'!$C$47))</f>
        <v>N/A</v>
      </c>
      <c r="K55" s="507" t="str">
        <f>IF($D$14&lt;&gt;K$14,"N/A",IF('Test Conditions'!$C$47="","",'Test Conditions'!$C$47))</f>
        <v>N/A</v>
      </c>
      <c r="L55" s="137" t="s">
        <v>286</v>
      </c>
      <c r="Q55" s="131"/>
    </row>
    <row r="56" spans="2:17" x14ac:dyDescent="0.4">
      <c r="B56" s="731" t="s">
        <v>443</v>
      </c>
      <c r="C56" s="139" t="s">
        <v>58</v>
      </c>
      <c r="D56" s="659" t="str">
        <f>IF(OR($D$14="Unknown",D14="11.1"),"11.2",$D$14) &amp; ".8.1"</f>
        <v>11.2.8.1</v>
      </c>
      <c r="E56" s="187" t="str">
        <f>IF($D$14&lt;&gt;E$14,"N/A",
IF(OR('General Info &amp; Test Results'!$C$39="",'General Info &amp; Test Results'!$C$47=""),"",
IF('General Info &amp; Test Results'!$C$47="Indoor",0,
IF('General Info &amp; Test Results'!$C$47="Isolated Combustion System",1.7,
IF('General Info &amp; Test Results'!$C$39="No",3.3,1)))))</f>
        <v>N/A</v>
      </c>
      <c r="F56" s="187" t="str">
        <f>IF($D$14&lt;&gt;F$14,"N/A",
IF(OR('General Info &amp; Test Results'!$C$39="",'General Info &amp; Test Results'!$C$47=""),"",
IF('General Info &amp; Test Results'!$C$47="Indoor",0,
IF('General Info &amp; Test Results'!$C$47="Isolated Combustion System",1.7,
IF('General Info &amp; Test Results'!$C$39="No",3.3,1)))))</f>
        <v>N/A</v>
      </c>
      <c r="G56" s="187" t="str">
        <f>IF($D$14&lt;&gt;G$14,"N/A",
IF(OR('General Info &amp; Test Results'!$C$39="",'General Info &amp; Test Results'!$C$47=""),"",
IF('General Info &amp; Test Results'!$C$47="Indoor",0,
IF('General Info &amp; Test Results'!$C$47="Isolated Combustion System",1.7,
IF('General Info &amp; Test Results'!$C$39="No",3.3,1)))))</f>
        <v>N/A</v>
      </c>
      <c r="H56" s="187" t="str">
        <f>IF($D$14&lt;&gt;H$14,"N/A",
IF(OR('General Info &amp; Test Results'!$C$39="",'General Info &amp; Test Results'!$C$47=""),"",
IF('General Info &amp; Test Results'!$C$47="Indoor",0,
IF('General Info &amp; Test Results'!$C$47="Isolated Combustion System",1.7,
IF('General Info &amp; Test Results'!$C$39="No",3.3,1)))))</f>
        <v>N/A</v>
      </c>
      <c r="I56" s="187" t="str">
        <f>IF($D$14&lt;&gt;I$14,"N/A",
IF(OR('General Info &amp; Test Results'!$C$39="",'General Info &amp; Test Results'!$C$47=""),"",
IF('General Info &amp; Test Results'!$C$47="Indoor",0,
IF('General Info &amp; Test Results'!$C$47="Isolated Combustion System",1.7,
IF('General Info &amp; Test Results'!$C$39="No",3.3,1)))))</f>
        <v>N/A</v>
      </c>
      <c r="J56" s="187" t="str">
        <f>IF($D$14&lt;&gt;J$14,"N/A",
IF(OR('General Info &amp; Test Results'!$C$39="",'General Info &amp; Test Results'!$C$47=""),"",
IF('General Info &amp; Test Results'!$C$47="Indoor",0,
IF('General Info &amp; Test Results'!$C$47="Isolated Combustion System",1.7,
IF('General Info &amp; Test Results'!$C$39="No",3.3,1)))))</f>
        <v>N/A</v>
      </c>
      <c r="K56" s="187" t="str">
        <f>IF($D$14&lt;&gt;K$14,"N/A",
IF(OR('General Info &amp; Test Results'!$C$39="",'General Info &amp; Test Results'!$C$47=""),"",
IF('General Info &amp; Test Results'!$C$47="Indoor",0,
IF('General Info &amp; Test Results'!$C$47="Isolated Combustion System",1.7,
IF('General Info &amp; Test Results'!$C$39="No",3.3,1)))))</f>
        <v>N/A</v>
      </c>
      <c r="L56" s="137" t="s">
        <v>178</v>
      </c>
      <c r="Q56" s="131"/>
    </row>
    <row r="57" spans="2:17" ht="16.5" x14ac:dyDescent="0.4">
      <c r="B57" s="731" t="s">
        <v>63</v>
      </c>
      <c r="C57" s="139" t="s">
        <v>513</v>
      </c>
      <c r="D57" s="659" t="str">
        <f>IF(OR($D$14="Unknown",D14="11.1"),"11.2",$D$14) &amp; ".8.1"</f>
        <v>11.2.8.1</v>
      </c>
      <c r="E57" s="523" t="str">
        <f>IF($D$14&lt;&gt;E$14,"N/A",IFERROR(ROUND(E54*(E51-E56*E55)/100,-3),""))</f>
        <v>N/A</v>
      </c>
      <c r="F57" s="523" t="str">
        <f>IF($D$14&lt;&gt;F$14,"N/A",IFERROR(ROUND(F54*(F51-F56*F55)/100,-3),""))</f>
        <v>N/A</v>
      </c>
      <c r="G57" s="523" t="str">
        <f t="shared" ref="G57:K57" si="1">IF($D$14&lt;&gt;G$14,"N/A",IFERROR(ROUND(G54*(G51-G56*G55)/100,-3),""))</f>
        <v>N/A</v>
      </c>
      <c r="H57" s="523" t="str">
        <f t="shared" si="1"/>
        <v>N/A</v>
      </c>
      <c r="I57" s="523" t="str">
        <f t="shared" si="1"/>
        <v>N/A</v>
      </c>
      <c r="J57" s="523" t="str">
        <f t="shared" si="1"/>
        <v>N/A</v>
      </c>
      <c r="K57" s="523" t="str">
        <f t="shared" si="1"/>
        <v>N/A</v>
      </c>
      <c r="L57" s="658" t="s">
        <v>37</v>
      </c>
      <c r="Q57" s="131"/>
    </row>
    <row r="58" spans="2:17" x14ac:dyDescent="0.4">
      <c r="B58" s="731" t="s">
        <v>55</v>
      </c>
      <c r="C58" s="139" t="s">
        <v>54</v>
      </c>
      <c r="D58" s="659" t="str">
        <f>IF(OR($D$14="Unknown",D14="11.1"),"11.2",$D$14) &amp; ".8.2"</f>
        <v>11.2.8.2</v>
      </c>
      <c r="E58" s="523" t="str">
        <f ca="1">IF($D$14&lt;&gt;E$14,"N/A",IF(E57="","",OFFSET('Drop-Downs and Tables'!$D$194,COUNTIF('Drop-Downs and Tables'!$B$195:$B$208,"&lt;=" &amp; E57),0)*1000))</f>
        <v>N/A</v>
      </c>
      <c r="F58" s="523" t="str">
        <f ca="1">IF($D$14&lt;&gt;F$14,"N/A",IF(F57="","",OFFSET('Drop-Downs and Tables'!$D$194,COUNTIF('Drop-Downs and Tables'!$B$195:$B$208,"&lt;=" &amp; F57),0)*1000))</f>
        <v>N/A</v>
      </c>
      <c r="G58" s="523" t="str">
        <f ca="1">IF($D$14&lt;&gt;G$14,"N/A",IF(G57="","",OFFSET('Drop-Downs and Tables'!$D$194,COUNTIF('Drop-Downs and Tables'!$B$195:$B$208,"&lt;=" &amp; G57),0)*1000))</f>
        <v>N/A</v>
      </c>
      <c r="H58" s="523" t="str">
        <f ca="1">IF($D$14&lt;&gt;H$14,"N/A",IF(H57="","",OFFSET('Drop-Downs and Tables'!$D$194,COUNTIF('Drop-Downs and Tables'!$B$195:$B$208,"&lt;=" &amp; H57),0)*1000))</f>
        <v>N/A</v>
      </c>
      <c r="I58" s="518"/>
      <c r="J58" s="1237"/>
      <c r="K58" s="716"/>
      <c r="L58" s="137" t="s">
        <v>37</v>
      </c>
      <c r="Q58" s="131"/>
    </row>
    <row r="59" spans="2:17" x14ac:dyDescent="0.4">
      <c r="B59" s="731" t="s">
        <v>444</v>
      </c>
      <c r="C59" s="139" t="s">
        <v>38</v>
      </c>
      <c r="D59" s="659" t="str">
        <f>IF(OR($D$14="Unknown",D14="11.1"),"11.2",$D$14) &amp; ".8.3"</f>
        <v>11.2.8.3</v>
      </c>
      <c r="E59" s="715"/>
      <c r="F59" s="124" t="str">
        <f>IF($D$14&lt;&gt;F$14,"N/A",0.7)</f>
        <v>N/A</v>
      </c>
      <c r="G59" s="124" t="str">
        <f>IF($D$14&lt;&gt;G$14,"N/A",0.7)</f>
        <v>N/A</v>
      </c>
      <c r="H59" s="536" t="str">
        <f>IF($D$14&lt;&gt;H$14,"N/A",H57/H58-1)</f>
        <v>N/A</v>
      </c>
      <c r="I59" s="518"/>
      <c r="J59" s="1238" t="str">
        <f>IF($D$14&lt;&gt;J$14,"N/A",J57/J58-1)</f>
        <v>N/A</v>
      </c>
      <c r="K59" s="716"/>
      <c r="L59" s="137" t="s">
        <v>178</v>
      </c>
      <c r="Q59" s="131"/>
    </row>
    <row r="60" spans="2:17" ht="16.5" x14ac:dyDescent="0.4">
      <c r="B60" s="731" t="s">
        <v>98</v>
      </c>
      <c r="C60" s="139" t="s">
        <v>619</v>
      </c>
      <c r="D60" s="659" t="str">
        <f>IF(OR($D$14="Unknown",D14="11.1"),"11.2",$D$14) &amp; ".8.4"</f>
        <v>11.2.8.4</v>
      </c>
      <c r="E60" s="715"/>
      <c r="F60" s="195" t="str">
        <f>IF($D$14&lt;&gt;F$14,"N/A",42)</f>
        <v>N/A</v>
      </c>
      <c r="G60" s="195" t="str">
        <f>IF($D$14&lt;&gt;G$14,"N/A",42)</f>
        <v>N/A</v>
      </c>
      <c r="H60" s="125" t="str">
        <f ca="1">IF($D$14&lt;&gt;H$14,"N/A",
IF(H61="","",IF(H61&lt;6,0,
OFFSET('Drop-Downs and Tables'!$G$222,COUNTIF('Drop-Downs and Tables'!$B$223:$B$239,"&lt;=" &amp; H61),0))))</f>
        <v>N/A</v>
      </c>
      <c r="I60" s="517" t="str">
        <f ca="1">IF($D$14&lt;&gt;H$14,"N/A",
IF(H61="","",IF(H61&lt;6,40.5,
OFFSET('Drop-Downs and Tables'!$F$222,COUNTIF('Drop-Downs and Tables'!$B$223:$B$239,"&lt;=" &amp; H61),0))))</f>
        <v>N/A</v>
      </c>
      <c r="J60" s="1237"/>
      <c r="K60" s="1237"/>
      <c r="L60" s="137" t="s">
        <v>51</v>
      </c>
      <c r="Q60" s="131"/>
    </row>
    <row r="61" spans="2:17" ht="16.5" x14ac:dyDescent="0.4">
      <c r="B61" s="731" t="s">
        <v>68</v>
      </c>
      <c r="C61" s="139" t="s">
        <v>620</v>
      </c>
      <c r="D61" s="659" t="str">
        <f>IF(OR($D$14="Unknown",D14="11.1"),"11.2",$D$14) &amp; ".8.5"</f>
        <v>11.2.8.5</v>
      </c>
      <c r="E61" s="715"/>
      <c r="F61" s="518"/>
      <c r="G61" s="518"/>
      <c r="H61" s="535" t="str">
        <f>IF($D$14&lt;&gt;H$14,"N/A",
IFERROR(IF(65-(60*(1+H59)*I57/H57)&lt;0,0,65-(60*(1+H59)*I57/H57)),""))</f>
        <v>N/A</v>
      </c>
      <c r="I61" s="518"/>
      <c r="J61" s="1239" t="str">
        <f>IF($D$14&lt;&gt;J$14,"N/A",
IFERROR(IF(65-(60*(1+J59)*K57/J57)&lt;0,0,65-(60*(1+J59)*K57/J57)),""))</f>
        <v>N/A</v>
      </c>
      <c r="K61" s="716"/>
      <c r="L61" s="137" t="s">
        <v>51</v>
      </c>
      <c r="Q61" s="131"/>
    </row>
    <row r="62" spans="2:17" ht="16.5" x14ac:dyDescent="0.4">
      <c r="B62" s="731" t="s">
        <v>520</v>
      </c>
      <c r="C62" s="139" t="s">
        <v>621</v>
      </c>
      <c r="D62" s="659" t="str">
        <f>IF(OR($D$14="Unknown",D14="11.1"),"11.2",$D$14) &amp; ".8.6"</f>
        <v>11.2.8.6</v>
      </c>
      <c r="E62" s="715"/>
      <c r="F62" s="518"/>
      <c r="G62" s="518"/>
      <c r="H62" s="507" t="str">
        <f ca="1">IF($D$14&lt;&gt;H$14,"N/A",
IF(H61&lt;6,0,
OFFSET('Drop-Downs and Tables'!$E$222,COUNTIF('Drop-Downs and Tables'!$B$223:$B$239,"&lt;=" &amp; H61),0)))</f>
        <v>N/A</v>
      </c>
      <c r="I62" s="534"/>
      <c r="J62" s="507" t="str">
        <f ca="1">IF($D$14&lt;&gt;J$14,"N/A",
IF(J61&lt;6,0,
OFFSET('Drop-Downs and Tables'!$E$222,COUNTIF('Drop-Downs and Tables'!$B$223:$B$239,"&lt;=" &amp; J61),0)))</f>
        <v>N/A</v>
      </c>
      <c r="K62" s="717"/>
      <c r="L62" s="137" t="s">
        <v>178</v>
      </c>
      <c r="Q62" s="131"/>
    </row>
    <row r="63" spans="2:17" ht="16.5" x14ac:dyDescent="0.4">
      <c r="B63" s="731" t="s">
        <v>521</v>
      </c>
      <c r="C63" s="139" t="s">
        <v>622</v>
      </c>
      <c r="D63" s="659" t="str">
        <f>IF(OR($D$14="Unknown",D14="11.1"),"11.2",$D$14) &amp; ".8.7"</f>
        <v>11.2.8.7</v>
      </c>
      <c r="E63" s="715"/>
      <c r="F63" s="518"/>
      <c r="G63" s="518"/>
      <c r="H63" s="534"/>
      <c r="I63" s="507" t="str">
        <f>IF($D$14&lt;&gt;I$14,"N/A",IFERROR(1-H62,""))</f>
        <v>N/A</v>
      </c>
      <c r="J63" s="534"/>
      <c r="K63" s="507" t="str">
        <f>IF($D$14&lt;&gt;K$14,"N/A",IFERROR(1-J62,""))</f>
        <v>N/A</v>
      </c>
      <c r="L63" s="137" t="s">
        <v>178</v>
      </c>
      <c r="Q63" s="131"/>
    </row>
    <row r="64" spans="2:17" ht="31" x14ac:dyDescent="0.4">
      <c r="B64" s="731" t="s">
        <v>69</v>
      </c>
      <c r="C64" s="139" t="s">
        <v>623</v>
      </c>
      <c r="D64" s="659" t="str">
        <f>IF(OR($D$14="Unknown",D14="11.1"),"11.2",$D$14) &amp; ".8.8"</f>
        <v>11.2.8.8</v>
      </c>
      <c r="E64" s="715"/>
      <c r="F64" s="518"/>
      <c r="G64" s="518"/>
      <c r="H64" s="551" t="str">
        <f>IF($D$14&lt;&gt;H$14,"N/A",
IF('General Info &amp; Test Results'!$C$50&lt;&gt;"Step Modulating","",
IFERROR(IF(I57&gt;H58,I51,((H58-I57)/(H57-I57))*((H61-H60)/(H61-5))*(H51-I51)+I51),"")))</f>
        <v>N/A</v>
      </c>
      <c r="I64" s="534"/>
      <c r="J64" s="551" t="str">
        <f>IF($D$14&lt;&gt;J$14,"N/A",
IF('General Info &amp; Test Results'!$C$50&lt;&gt;"Step Modulating","",
IFERROR(IF(K57&gt;J58,K51,((J58-K57)/(J57-K57))*((J61-J60)/(J61-5))*(J51-K51)+K51),"")))</f>
        <v>N/A</v>
      </c>
      <c r="K64" s="716"/>
      <c r="L64" s="137" t="s">
        <v>218</v>
      </c>
      <c r="Q64" s="131"/>
    </row>
    <row r="65" spans="2:17" ht="16.5" x14ac:dyDescent="0.4">
      <c r="B65" s="731" t="s">
        <v>70</v>
      </c>
      <c r="C65" s="139" t="s">
        <v>624</v>
      </c>
      <c r="D65" s="659" t="str">
        <f>IF(OR($D$14="Unknown",D14="11.1"),"11.2",$D$14) &amp; ".8.9"</f>
        <v>11.2.8.9</v>
      </c>
      <c r="E65" s="715"/>
      <c r="F65" s="518"/>
      <c r="G65" s="518"/>
      <c r="H65" s="551" t="str">
        <f>IF($D$14&lt;&gt;H$14,"N/A",
IFERROR(IF('General Info &amp; Test Results'!$C$50="Two-Stage Modulating",H62*H51+I63*I51,
IF('General Info &amp; Test Results'!$C$50="Step Modulating",H62*H64+I63*I51,
"")),""))</f>
        <v>N/A</v>
      </c>
      <c r="I65" s="534"/>
      <c r="J65" s="551" t="str">
        <f>IF($D$14&lt;&gt;J$14,"N/A",
IFERROR(IF('General Info &amp; Test Results'!$C$50="Two-Stage Modulating",J62*J51+K63*K51,
IF('General Info &amp; Test Results'!$C$50="Step Modulating",J62*J64+K63*K51,
"")),""))</f>
        <v>N/A</v>
      </c>
      <c r="K65" s="716"/>
      <c r="L65" s="137" t="s">
        <v>218</v>
      </c>
      <c r="Q65" s="131"/>
    </row>
    <row r="66" spans="2:17" ht="31.5" thickBot="1" x14ac:dyDescent="0.45">
      <c r="B66" s="733" t="s">
        <v>71</v>
      </c>
      <c r="C66" s="734" t="s">
        <v>625</v>
      </c>
      <c r="D66" s="735" t="str">
        <f>IF(OR($D$14="Unknown",D14="11.1"),"11.2",$D$14) &amp; ".8.10"</f>
        <v>11.2.8.10</v>
      </c>
      <c r="E66" s="884"/>
      <c r="F66" s="885"/>
      <c r="G66" s="885"/>
      <c r="H66" s="886" t="str">
        <f>IF($D$14&lt;&gt;H$14,"N/A",
IF(OR('General Info &amp; Test Results'!$C$50="Two-Stage Modulating",'General Info &amp; Test Results'!$C$50="Step Modulating"),
IFERROR(IF(I57&gt;H58,I57,(H58-I57)*(H61-H60)/(H61-5)+I57),""),""))</f>
        <v>N/A</v>
      </c>
      <c r="I66" s="887"/>
      <c r="J66" s="886" t="str">
        <f>IF($D$14&lt;&gt;J$14,"N/A",
IF(OR('General Info &amp; Test Results'!$C$50="Two-Stage Modulating",'General Info &amp; Test Results'!$C$50="Step Modulating"),
IFERROR(IF(K57&gt;J58,K57,(J58-K57)*(J61-J60)/(J61-5)+K57),""),""))</f>
        <v>N/A</v>
      </c>
      <c r="K66" s="888"/>
      <c r="L66" s="739" t="s">
        <v>37</v>
      </c>
      <c r="Q66" s="131"/>
    </row>
    <row r="67" spans="2:17" ht="16" thickBot="1" x14ac:dyDescent="0.45">
      <c r="B67" s="863"/>
      <c r="C67" s="835"/>
      <c r="D67" s="835"/>
      <c r="E67" s="835"/>
      <c r="F67" s="518"/>
      <c r="G67" s="518"/>
      <c r="H67" s="534"/>
      <c r="I67" s="534"/>
      <c r="J67" s="534"/>
      <c r="K67" s="835"/>
      <c r="L67" s="864"/>
      <c r="Q67" s="131"/>
    </row>
    <row r="68" spans="2:17" x14ac:dyDescent="0.4">
      <c r="B68" s="880" t="s">
        <v>919</v>
      </c>
      <c r="C68" s="881"/>
      <c r="D68" s="881"/>
      <c r="E68" s="881"/>
      <c r="F68" s="882"/>
      <c r="G68" s="882"/>
      <c r="H68" s="882"/>
      <c r="I68" s="882"/>
      <c r="J68" s="882"/>
      <c r="K68" s="882"/>
      <c r="L68" s="883"/>
      <c r="Q68" s="131"/>
    </row>
    <row r="69" spans="2:17" ht="16.5" x14ac:dyDescent="0.4">
      <c r="B69" s="867" t="s">
        <v>221</v>
      </c>
      <c r="C69" s="849" t="s">
        <v>626</v>
      </c>
      <c r="D69" s="850" t="str">
        <f>IF(OR($D$14="Unknown",D14="11.1"),"11.2",$D$14) &amp; ".9.1"</f>
        <v>11.2.9.1</v>
      </c>
      <c r="E69" s="851"/>
      <c r="F69" s="514" t="str">
        <f>IF($D$14&lt;&gt;F$14,"N/A",0.24)</f>
        <v>N/A</v>
      </c>
      <c r="G69" s="514" t="str">
        <f t="shared" ref="G69:K69" si="2">IF($D$14&lt;&gt;G$14,"N/A",0.24)</f>
        <v>N/A</v>
      </c>
      <c r="H69" s="514" t="str">
        <f t="shared" si="2"/>
        <v>N/A</v>
      </c>
      <c r="I69" s="514" t="str">
        <f t="shared" si="2"/>
        <v>N/A</v>
      </c>
      <c r="J69" s="514" t="str">
        <f t="shared" si="2"/>
        <v>N/A</v>
      </c>
      <c r="K69" s="514" t="str">
        <f t="shared" si="2"/>
        <v>N/A</v>
      </c>
      <c r="L69" s="866" t="s">
        <v>539</v>
      </c>
      <c r="Q69" s="131"/>
    </row>
    <row r="70" spans="2:17" ht="16.5" x14ac:dyDescent="0.4">
      <c r="B70" s="731" t="s">
        <v>445</v>
      </c>
      <c r="C70" s="139" t="s">
        <v>627</v>
      </c>
      <c r="D70" s="659" t="str">
        <f>IF(OR($D$14="Unknown",D14="11.1"),"11.2",$D$14) &amp; ".9.1"</f>
        <v>11.2.9.1</v>
      </c>
      <c r="E70" s="715"/>
      <c r="F70" s="745" t="str">
        <f>IF($D$14&lt;&gt;F$14,"N/A",
IFERROR(100*F69*(1+F23*F42)/F41,""))</f>
        <v>N/A</v>
      </c>
      <c r="G70" s="745" t="str">
        <f t="shared" ref="G70:K70" si="3">IF($D$14&lt;&gt;G$14,"N/A",
IFERROR(100*G69*(1+G23*G42)/G41,""))</f>
        <v>N/A</v>
      </c>
      <c r="H70" s="745" t="str">
        <f t="shared" si="3"/>
        <v>N/A</v>
      </c>
      <c r="I70" s="745" t="str">
        <f t="shared" si="3"/>
        <v>N/A</v>
      </c>
      <c r="J70" s="745" t="str">
        <f t="shared" si="3"/>
        <v>N/A</v>
      </c>
      <c r="K70" s="745" t="str">
        <f t="shared" si="3"/>
        <v>N/A</v>
      </c>
      <c r="L70" s="137" t="s">
        <v>178</v>
      </c>
      <c r="Q70" s="131"/>
    </row>
    <row r="71" spans="2:17" x14ac:dyDescent="0.4">
      <c r="B71" s="731" t="s">
        <v>228</v>
      </c>
      <c r="C71" s="139" t="s">
        <v>229</v>
      </c>
      <c r="D71" s="659" t="str">
        <f>IF(OR($D$14="Unknown",D14="11.1"),"11.2",$D$14) &amp; ".9.2"</f>
        <v>11.2.9.2</v>
      </c>
      <c r="E71" s="715"/>
      <c r="F71" s="515" t="str">
        <f>IF($D$14&lt;&gt;F$14,"N/A",0.7)</f>
        <v>N/A</v>
      </c>
      <c r="G71" s="515" t="str">
        <f t="shared" ref="G71:K71" si="4">IF($D$14&lt;&gt;G$14,"N/A",0.7)</f>
        <v>N/A</v>
      </c>
      <c r="H71" s="515" t="str">
        <f t="shared" si="4"/>
        <v>N/A</v>
      </c>
      <c r="I71" s="515" t="str">
        <f t="shared" si="4"/>
        <v>N/A</v>
      </c>
      <c r="J71" s="515" t="str">
        <f t="shared" si="4"/>
        <v>N/A</v>
      </c>
      <c r="K71" s="515" t="str">
        <f t="shared" si="4"/>
        <v>N/A</v>
      </c>
      <c r="L71" s="137" t="s">
        <v>178</v>
      </c>
      <c r="Q71" s="131"/>
    </row>
    <row r="72" spans="2:17" ht="16.5" x14ac:dyDescent="0.4">
      <c r="B72" s="731" t="s">
        <v>446</v>
      </c>
      <c r="C72" s="139" t="s">
        <v>628</v>
      </c>
      <c r="D72" s="659" t="str">
        <f>IF(OR($D$14="Unknown",D14="11.1"),"11.2",$D$14) &amp; ".9.2"</f>
        <v>11.2.9.2</v>
      </c>
      <c r="E72" s="715"/>
      <c r="F72" s="962" t="str">
        <f>IF($D$14&lt;&gt;F$14,"N/A",
IF(F17&gt;=9,0,
IF(OR(F31="",F70=""),"",F71*F31*F70)))</f>
        <v>N/A</v>
      </c>
      <c r="G72" s="524" t="str">
        <f t="shared" ref="G72:K72" si="5">IF($D$14&lt;&gt;G$14,"N/A",
IF(G17&gt;=9,0,
IF(OR(G31="",G70=""),"",G71*G31*G70)))</f>
        <v>N/A</v>
      </c>
      <c r="H72" s="524" t="str">
        <f>IF($D$14&lt;&gt;H$14,"N/A",
IF(H17&gt;=9,0,
IF(OR(H31="",H70=""),"",H71*H31*H70)))</f>
        <v>N/A</v>
      </c>
      <c r="I72" s="524" t="str">
        <f t="shared" si="5"/>
        <v>N/A</v>
      </c>
      <c r="J72" s="524" t="str">
        <f>IF($D$14&lt;&gt;J$14,"N/A",
IF(J17&gt;=9,0,
IF(OR(J31="",J70=""),"",J71*J31*J70)))</f>
        <v>N/A</v>
      </c>
      <c r="K72" s="524" t="str">
        <f t="shared" si="5"/>
        <v>N/A</v>
      </c>
      <c r="L72" s="137" t="s">
        <v>178</v>
      </c>
      <c r="Q72" s="131"/>
    </row>
    <row r="73" spans="2:17" ht="31" x14ac:dyDescent="0.4">
      <c r="B73" s="731" t="s">
        <v>85</v>
      </c>
      <c r="C73" s="139" t="s">
        <v>629</v>
      </c>
      <c r="D73" s="713" t="str">
        <f>IF($D$14="11.4","11.4.9.2.2",
IF($D$14="11.5","11.5.9.2.2",
"11.(4 or 5).9.2.2"))</f>
        <v>11.(4 or 5).9.2.2</v>
      </c>
      <c r="E73" s="715"/>
      <c r="F73" s="518"/>
      <c r="G73" s="518"/>
      <c r="H73" s="537" t="str">
        <f>IF($D$14&lt;&gt;H$14,"N/A",
IF('General Info &amp; Test Results'!$C$50="Step Modulating",IFERROR((I72*(70-I60)+H72*(70-H60))/2,""),""))</f>
        <v>N/A</v>
      </c>
      <c r="I73" s="534"/>
      <c r="J73" s="561" t="str">
        <f>IF($D$14&lt;&gt;J$14,"N/A",
IF('General Info &amp; Test Results'!$C$50="Step Modulating",IFERROR((K72*(70-K60)+J72*(70-J60))/2,""),""))</f>
        <v>N/A</v>
      </c>
      <c r="K73" s="716"/>
      <c r="L73" s="137" t="s">
        <v>218</v>
      </c>
      <c r="Q73" s="131"/>
    </row>
    <row r="74" spans="2:17" ht="31" x14ac:dyDescent="0.4">
      <c r="B74" s="731" t="s">
        <v>73</v>
      </c>
      <c r="C74" s="139" t="s">
        <v>630</v>
      </c>
      <c r="D74" s="713" t="str">
        <f>IF($D$14="11.4","11.4.9.2.3",
IF($D$14="11.5","11.5.9.2.3",
"11.(4 or 5).9.2.3"))</f>
        <v>11.(4 or 5).9.2.3</v>
      </c>
      <c r="E74" s="715"/>
      <c r="F74" s="522"/>
      <c r="G74" s="522"/>
      <c r="H74" s="550" t="str">
        <f>IF($D$14&lt;&gt;H$14,"N/A",
IF('General Info &amp; Test Results'!$C$50="Step Modulating",IFERROR(IF('General Info &amp; Test Results'!$C$47="Indoor",H64-H73,H64-H137*H55),""),""))</f>
        <v>N/A</v>
      </c>
      <c r="I74" s="534"/>
      <c r="J74" s="550" t="str">
        <f>IF($D$14&lt;&gt;J$14,"N/A",
IF('General Info &amp; Test Results'!$C$50="Step Modulating",IFERROR(IF('General Info &amp; Test Results'!$C$47="Indoor",J64-J73,J64-J137*J55),""),""))</f>
        <v>N/A</v>
      </c>
      <c r="K74" s="718"/>
      <c r="L74" s="137" t="s">
        <v>218</v>
      </c>
      <c r="Q74" s="131"/>
    </row>
    <row r="75" spans="2:17" ht="16.5" x14ac:dyDescent="0.4">
      <c r="B75" s="731" t="s">
        <v>450</v>
      </c>
      <c r="C75" s="139" t="s">
        <v>631</v>
      </c>
      <c r="D75" s="659" t="str">
        <f>IF(OR($D$14="Unknown",D14="11.1"),"11.2",$D$14) &amp; ".9.3"</f>
        <v>11.2.9.3</v>
      </c>
      <c r="E75" s="715"/>
      <c r="F75" s="1220" t="str">
        <f>IF($D$14&lt;&gt;F$14,"N/A",IFERROR((F37-F34)/F31+F34,""))</f>
        <v>N/A</v>
      </c>
      <c r="G75" s="518"/>
      <c r="H75" s="538" t="str">
        <f>IF($D$14&lt;&gt;H$14,"N/A",IFERROR((H37-H34)/H31+H34,""))</f>
        <v>N/A</v>
      </c>
      <c r="I75" s="538" t="str">
        <f>IF($D$14&lt;&gt;I$14,"N/A",IFERROR((I37-I34)/I31+I34,""))</f>
        <v>N/A</v>
      </c>
      <c r="J75" s="540"/>
      <c r="K75" s="719"/>
      <c r="L75" s="137" t="s">
        <v>51</v>
      </c>
      <c r="Q75" s="131"/>
    </row>
    <row r="76" spans="2:17" ht="16.5" x14ac:dyDescent="0.4">
      <c r="B76" s="731"/>
      <c r="C76" s="139" t="s">
        <v>632</v>
      </c>
      <c r="D76" s="659" t="str">
        <f>IF(OR($D$14="Unknown",D14="11.1"),"11.2",$D$14) &amp; ".9.4"</f>
        <v>11.2.9.4</v>
      </c>
      <c r="E76" s="715"/>
      <c r="F76" s="514" t="str">
        <f>IF($D$14&lt;&gt;F$14,"N/A",1)</f>
        <v>N/A</v>
      </c>
      <c r="G76" s="514" t="str">
        <f t="shared" ref="G76:K76" si="6">IF($D$14&lt;&gt;G$14,"N/A",1)</f>
        <v>N/A</v>
      </c>
      <c r="H76" s="514" t="str">
        <f t="shared" si="6"/>
        <v>N/A</v>
      </c>
      <c r="I76" s="514" t="str">
        <f t="shared" si="6"/>
        <v>N/A</v>
      </c>
      <c r="J76" s="514" t="str">
        <f t="shared" si="6"/>
        <v>N/A</v>
      </c>
      <c r="K76" s="514" t="str">
        <f t="shared" si="6"/>
        <v>N/A</v>
      </c>
      <c r="L76" s="137" t="s">
        <v>36</v>
      </c>
      <c r="Q76" s="131"/>
    </row>
    <row r="77" spans="2:17" ht="16.5" x14ac:dyDescent="0.4">
      <c r="B77" s="731"/>
      <c r="C77" s="139" t="s">
        <v>633</v>
      </c>
      <c r="D77" s="659" t="str">
        <f>IF(OR($D$14="Unknown",D14="11.1"),"11.2",$D$14) &amp; ".9.4"</f>
        <v>11.2.9.4</v>
      </c>
      <c r="E77" s="715"/>
      <c r="F77" s="514" t="str">
        <f>IF($D$14&lt;&gt;F$14,"N/A",5.5)</f>
        <v>N/A</v>
      </c>
      <c r="G77" s="514" t="str">
        <f t="shared" ref="G77:K77" si="7">IF($D$14&lt;&gt;G$14,"N/A",5.5)</f>
        <v>N/A</v>
      </c>
      <c r="H77" s="514" t="str">
        <f t="shared" si="7"/>
        <v>N/A</v>
      </c>
      <c r="I77" s="514" t="str">
        <f t="shared" si="7"/>
        <v>N/A</v>
      </c>
      <c r="J77" s="514" t="str">
        <f t="shared" si="7"/>
        <v>N/A</v>
      </c>
      <c r="K77" s="514" t="str">
        <f t="shared" si="7"/>
        <v>N/A</v>
      </c>
      <c r="L77" s="137" t="s">
        <v>36</v>
      </c>
      <c r="Q77" s="131"/>
    </row>
    <row r="78" spans="2:17" ht="16.5" x14ac:dyDescent="0.4">
      <c r="B78" s="731" t="s">
        <v>451</v>
      </c>
      <c r="C78" s="139" t="s">
        <v>634</v>
      </c>
      <c r="D78" s="659" t="str">
        <f>IF(OR($D$14="Unknown",D14="11.1"),"11.2",$D$14) &amp; ".9.4"</f>
        <v>11.2.9.4</v>
      </c>
      <c r="E78" s="715"/>
      <c r="F78" s="514" t="str">
        <f>IF($D$14&lt;&gt;F$14,"N/A",
IF('Max Test'!$C$140&gt;=F37,F37-0.2,
IF('Max Test'!$C$140&gt;='Max Test'!$C$141,F79-0.1,
'Max Test'!$C$140)))</f>
        <v>N/A</v>
      </c>
      <c r="G78" s="514" t="str">
        <f>IF($D$14&lt;&gt;G$14,"N/A",
IF('Max Test'!$C$140&gt;=G37,G37-0.2,
IF('Max Test'!$C$140&gt;='Max Test'!$C$141,G79-0.1,
'Max Test'!$C$140)))</f>
        <v>N/A</v>
      </c>
      <c r="H78" s="514" t="str">
        <f>IF($D$14&lt;&gt;H$14,"N/A",
IF('Max Test'!$C$140&gt;=H37,H37-0.2,
IF('Max Test'!$C$140&gt;='Max Test'!$C$141,H79-0.1,
'Max Test'!$C$140)))</f>
        <v>N/A</v>
      </c>
      <c r="I78" s="514" t="str">
        <f>IF($D$14&lt;&gt;I$14,"N/A",
IF('Reduced Test'!$C$140&gt;=I37,I37-0.2,
IF('Reduced Test'!$C$140&gt;='Reduced Test'!$C$141,I79-0.1,
'Reduced Test'!$C$140)))</f>
        <v>N/A</v>
      </c>
      <c r="J78" s="514" t="str">
        <f>IF($D$14&lt;&gt;J$14,"N/A",
IF('Max Test'!$C$140&gt;=J37,J37-0.2,
IF('Max Test'!$C$140&gt;='Max Test'!$C$141,J79-0.1,
'Max Test'!$C$140)))</f>
        <v>N/A</v>
      </c>
      <c r="K78" s="514" t="str">
        <f>IF($D$14&lt;&gt;K$14,"N/A",
IF('Reduced Test'!$C$140&gt;=K37,K37-0.2,
IF('Reduced Test'!$C$140&gt;='Reduced Test'!$C$141,K79-0.1,
'Reduced Test'!$C$140)))</f>
        <v>N/A</v>
      </c>
      <c r="L78" s="137" t="s">
        <v>51</v>
      </c>
      <c r="Q78" s="131"/>
    </row>
    <row r="79" spans="2:17" ht="16.5" x14ac:dyDescent="0.4">
      <c r="B79" s="731" t="s">
        <v>452</v>
      </c>
      <c r="C79" s="139" t="s">
        <v>635</v>
      </c>
      <c r="D79" s="659" t="str">
        <f>IF(OR($D$14="Unknown",D14="11.1"),"11.2",$D$14) &amp; ".9.4"</f>
        <v>11.2.9.4</v>
      </c>
      <c r="E79" s="715"/>
      <c r="F79" s="514" t="str">
        <f>IF($D$14&lt;&gt;F$14,"N/A",
IF('Max Test'!$C$141&gt;=F37,F37-0.1,
'Max Test'!$C$141))</f>
        <v>N/A</v>
      </c>
      <c r="G79" s="514" t="str">
        <f>IF($D$14&lt;&gt;G$14,"N/A",
IF('Max Test'!$C$141&gt;=G37,G37-0.1,
'Max Test'!$C$141))</f>
        <v>N/A</v>
      </c>
      <c r="H79" s="514" t="str">
        <f>IF($D$14&lt;&gt;H$14,"N/A",
IF('Max Test'!$C$141&gt;=H37,H37-0.1,
'Max Test'!$C$141))</f>
        <v>N/A</v>
      </c>
      <c r="I79" s="514" t="str">
        <f>IF($D$14&lt;&gt;I$14,"N/A",
IF('Reduced Test'!$C$141&gt;=I37,I37-0.1,
'Reduced Test'!$C$141))</f>
        <v>N/A</v>
      </c>
      <c r="J79" s="514" t="str">
        <f>IF($D$14&lt;&gt;J$14,"N/A",
IF('Max Test'!$C$141&gt;=J37,J37-0.1,
'Max Test'!$C$141))</f>
        <v>N/A</v>
      </c>
      <c r="K79" s="514" t="str">
        <f>IF($D$14&lt;&gt;K$14,"N/A",
IF('Reduced Test'!$C$141&gt;=K37,K37-0.1,
'Reduced Test'!$C$141))</f>
        <v>N/A</v>
      </c>
      <c r="L79" s="137" t="s">
        <v>51</v>
      </c>
      <c r="Q79" s="131"/>
    </row>
    <row r="80" spans="2:17" ht="16.5" x14ac:dyDescent="0.4">
      <c r="B80" s="731" t="s">
        <v>453</v>
      </c>
      <c r="C80" s="139" t="s">
        <v>636</v>
      </c>
      <c r="D80" s="659" t="str">
        <f>IF(OR($D$14="Unknown",D14="11.1"),"11.2",$D$14) &amp; ".9.4"</f>
        <v>11.2.9.4</v>
      </c>
      <c r="E80" s="715"/>
      <c r="F80" s="514" t="str">
        <f>IF($D$14&lt;&gt;F$14,"N/A",(F77-F76)/LN((F37-F78)/(F37-F79)))</f>
        <v>N/A</v>
      </c>
      <c r="G80" s="514" t="str">
        <f t="shared" ref="G80:K80" si="8">IF($D$14&lt;&gt;G$14,"N/A",(G77-G76)/LN((G37-G78)/(G37-G79)))</f>
        <v>N/A</v>
      </c>
      <c r="H80" s="514" t="str">
        <f t="shared" si="8"/>
        <v>N/A</v>
      </c>
      <c r="I80" s="514" t="str">
        <f>IF($D$14&lt;&gt;I$14,"N/A",(I77-I76)/LN((I37-I78)/(I37-I79)))</f>
        <v>N/A</v>
      </c>
      <c r="J80" s="514" t="str">
        <f t="shared" si="8"/>
        <v>N/A</v>
      </c>
      <c r="K80" s="514" t="str">
        <f t="shared" si="8"/>
        <v>N/A</v>
      </c>
      <c r="L80" s="137" t="s">
        <v>36</v>
      </c>
      <c r="Q80" s="131"/>
    </row>
    <row r="81" spans="2:17" ht="16.5" x14ac:dyDescent="0.4">
      <c r="B81" s="731" t="s">
        <v>454</v>
      </c>
      <c r="C81" s="139" t="s">
        <v>637</v>
      </c>
      <c r="D81" s="659" t="str">
        <f>IF(OR($D$14="Unknown",D14="11.1"),"11.2",$D$14) &amp; ".9.5"</f>
        <v>11.2.9.5</v>
      </c>
      <c r="E81" s="715"/>
      <c r="F81" s="514" t="str">
        <f>IF($D$14&lt;&gt;F$14,"N/A",(F37-F78)*EXP(F76/F80))</f>
        <v>N/A</v>
      </c>
      <c r="G81" s="514" t="str">
        <f t="shared" ref="G81:K81" si="9">IF($D$14&lt;&gt;G$14,"N/A",(G37-G78)*EXP(G76/G80))</f>
        <v>N/A</v>
      </c>
      <c r="H81" s="514" t="str">
        <f t="shared" si="9"/>
        <v>N/A</v>
      </c>
      <c r="I81" s="514" t="str">
        <f t="shared" si="9"/>
        <v>N/A</v>
      </c>
      <c r="J81" s="514" t="str">
        <f t="shared" si="9"/>
        <v>N/A</v>
      </c>
      <c r="K81" s="514" t="str">
        <f t="shared" si="9"/>
        <v>N/A</v>
      </c>
      <c r="L81" s="137" t="s">
        <v>36</v>
      </c>
      <c r="Q81" s="131"/>
    </row>
    <row r="82" spans="2:17" ht="16.5" x14ac:dyDescent="0.4">
      <c r="B82" s="731"/>
      <c r="C82" s="139" t="s">
        <v>638</v>
      </c>
      <c r="D82" s="659" t="str">
        <f>IF(OR($D$14="Unknown",D14="11.1"),"11.2",$D$14) &amp; ".9.6"</f>
        <v>11.2.9.6</v>
      </c>
      <c r="E82" s="715"/>
      <c r="F82" s="539" t="str">
        <f>IF($D$14&lt;&gt;F$14,"N/A",IF('Max Test'!$C$123="Yes",F85+3.75,3.75))</f>
        <v>N/A</v>
      </c>
      <c r="G82" s="539" t="str">
        <f>IF($D$14&lt;&gt;G$14,"N/A",IF('Max Test'!$C$123="Yes",G85+3.75,3.75))</f>
        <v>N/A</v>
      </c>
      <c r="H82" s="539" t="str">
        <f>IF($D$14&lt;&gt;H$14,"N/A",IF('Max Test'!$C$123="Yes",H85+3.75,3.75))</f>
        <v>N/A</v>
      </c>
      <c r="I82" s="539" t="str">
        <f>IF($D$14&lt;&gt;I$14,"N/A",IF('Reduced Test'!$C$123="Yes",I85+3.75,3.75))</f>
        <v>N/A</v>
      </c>
      <c r="J82" s="539" t="str">
        <f>IF($D$14&lt;&gt;J$14,"N/A",IF('Max Test'!$C$123="Yes",J85+3.75,3.75))</f>
        <v>N/A</v>
      </c>
      <c r="K82" s="539" t="str">
        <f>IF($D$14&lt;&gt;K$14,"N/A",IF('Reduced Test'!$C$123="Yes",K85+3.75,3.75))</f>
        <v>N/A</v>
      </c>
      <c r="L82" s="137" t="s">
        <v>36</v>
      </c>
      <c r="Q82" s="131"/>
    </row>
    <row r="83" spans="2:17" ht="16.5" x14ac:dyDescent="0.4">
      <c r="B83" s="731"/>
      <c r="C83" s="139" t="s">
        <v>639</v>
      </c>
      <c r="D83" s="659" t="str">
        <f>IF(OR($D$14="Unknown",D14="11.1"),"11.2",$D$14) &amp; ".9.6"</f>
        <v>11.2.9.6</v>
      </c>
      <c r="E83" s="715"/>
      <c r="F83" s="539" t="str">
        <f>IF($D$14&lt;&gt;F$14,"N/A",IF('Max Test'!$C$123="Yes",F86+22.5,22.5))</f>
        <v>N/A</v>
      </c>
      <c r="G83" s="539" t="str">
        <f>IF($D$14&lt;&gt;G$14,"N/A",IF('Max Test'!$C$123="Yes",G86+22.5,22.5))</f>
        <v>N/A</v>
      </c>
      <c r="H83" s="539" t="str">
        <f>IF($D$14&lt;&gt;H$14,"N/A",IF('Max Test'!$C$123="Yes",H86+22.5,22.5))</f>
        <v>N/A</v>
      </c>
      <c r="I83" s="539" t="str">
        <f>IF($D$14&lt;&gt;I$14,"N/A",IF('Reduced Test'!$C$123="Yes",I86+22.5,22.5))</f>
        <v>N/A</v>
      </c>
      <c r="J83" s="539" t="str">
        <f>IF($D$14&lt;&gt;J$14,"N/A",IF('Max Test'!$C$123="Yes",J86+22.5,22.5))</f>
        <v>N/A</v>
      </c>
      <c r="K83" s="539" t="str">
        <f>IF($D$14&lt;&gt;K$14,"N/A",IF('Reduced Test'!$C$123="Yes",K86+22.5,22.5))</f>
        <v>N/A</v>
      </c>
      <c r="L83" s="137" t="s">
        <v>36</v>
      </c>
      <c r="Q83" s="131"/>
    </row>
    <row r="84" spans="2:17" ht="16.5" x14ac:dyDescent="0.4">
      <c r="B84" s="731"/>
      <c r="C84" s="139" t="s">
        <v>640</v>
      </c>
      <c r="D84" s="659" t="str">
        <f>IF(OR($D$14="Unknown",D14="11.1"),"11.2",$D$14) &amp; ".9.6"</f>
        <v>11.2.9.6</v>
      </c>
      <c r="E84" s="715"/>
      <c r="F84" s="539" t="str">
        <f>IF($D$14&lt;&gt;F$14,"N/A",45)</f>
        <v>N/A</v>
      </c>
      <c r="G84" s="539" t="str">
        <f t="shared" ref="G84:K84" si="10">IF($D$14&lt;&gt;G$14,"N/A",45)</f>
        <v>N/A</v>
      </c>
      <c r="H84" s="539" t="str">
        <f t="shared" si="10"/>
        <v>N/A</v>
      </c>
      <c r="I84" s="539" t="str">
        <f t="shared" si="10"/>
        <v>N/A</v>
      </c>
      <c r="J84" s="539" t="str">
        <f t="shared" si="10"/>
        <v>N/A</v>
      </c>
      <c r="K84" s="539" t="str">
        <f t="shared" si="10"/>
        <v>N/A</v>
      </c>
      <c r="L84" s="137" t="s">
        <v>36</v>
      </c>
      <c r="Q84" s="131"/>
    </row>
    <row r="85" spans="2:17" ht="16.5" x14ac:dyDescent="0.4">
      <c r="B85" s="731" t="s">
        <v>455</v>
      </c>
      <c r="C85" s="139" t="s">
        <v>641</v>
      </c>
      <c r="D85" s="659" t="str">
        <f>IF(OR($D$14="Unknown",D14="11.1"),"11.2",$D$14) &amp; ".9.6"</f>
        <v>11.2.9.6</v>
      </c>
      <c r="E85" s="715"/>
      <c r="F85" s="516" t="str">
        <f>IF($D$14&lt;&gt;F$14,"N/A",'Max Test'!$C$124)</f>
        <v>N/A</v>
      </c>
      <c r="G85" s="516" t="str">
        <f>IF($D$14&lt;&gt;G$14,"N/A",'Max Test'!$C$124)</f>
        <v>N/A</v>
      </c>
      <c r="H85" s="516" t="str">
        <f>IF($D$14&lt;&gt;H$14,"N/A",'Max Test'!$C$124)</f>
        <v>N/A</v>
      </c>
      <c r="I85" s="516" t="str">
        <f>IF($D$14&lt;&gt;I$14,"N/A",'Reduced Test'!$C$124)</f>
        <v>N/A</v>
      </c>
      <c r="J85" s="516" t="str">
        <f>IF($D$14&lt;&gt;J$14,"N/A",'Max Test'!$C$124)</f>
        <v>N/A</v>
      </c>
      <c r="K85" s="516" t="str">
        <f>IF($D$14&lt;&gt;K$14,"N/A",'Reduced Test'!$C$124)</f>
        <v>N/A</v>
      </c>
      <c r="L85" s="137" t="s">
        <v>36</v>
      </c>
      <c r="Q85" s="131"/>
    </row>
    <row r="86" spans="2:17" ht="16.5" x14ac:dyDescent="0.4">
      <c r="B86" s="731" t="s">
        <v>456</v>
      </c>
      <c r="C86" s="139" t="s">
        <v>642</v>
      </c>
      <c r="D86" s="659" t="str">
        <f>IF(OR($D$14="Unknown",D14="11.1"),"11.2",$D$14) &amp; ".9.6"</f>
        <v>11.2.9.6</v>
      </c>
      <c r="E86" s="715"/>
      <c r="F86" s="514" t="str">
        <f>IF($D$14&lt;&gt;F$14,"N/A",
IF('Max Test'!$C$127&lt;='Max Test'!$C$132,'Max Test'!$C$132+0.2,
IF('Max Test'!$C$127&lt;='Max Test'!$C$128,'Max Test'!$C$128+0.1,
'Max Test'!$C$127)))</f>
        <v>N/A</v>
      </c>
      <c r="G86" s="514" t="str">
        <f>IF($D$14&lt;&gt;G$14,"N/A",
IF('Max Test'!$C$127&lt;='Max Test'!$C$132,'Max Test'!$C$132+0.2,
IF('Max Test'!$C$127&lt;='Max Test'!$C$128,'Max Test'!$C$128+0.1,
'Max Test'!$C$127)))</f>
        <v>N/A</v>
      </c>
      <c r="H86" s="514" t="str">
        <f>IF($D$14&lt;&gt;H$14,"N/A",
IF('Max Test'!$C$127&lt;='Max Test'!$C$132,'Max Test'!$C$132+0.2,
IF('Max Test'!$C$127&lt;='Max Test'!$C$128,'Max Test'!$C$128+0.1,
'Max Test'!$C$127)))</f>
        <v>N/A</v>
      </c>
      <c r="I86" s="514" t="str">
        <f>IF($D$14&lt;&gt;I$14,"N/A",
IF('Reduced Test'!$C$127&lt;='Reduced Test'!$C$132,'Reduced Test'!$C$132+0.2,
IF('Reduced Test'!$C$127&lt;='Reduced Test'!$C$128,'Reduced Test'!$C$128+0.1,
'Reduced Test'!$C$127)))</f>
        <v>N/A</v>
      </c>
      <c r="J86" s="514" t="str">
        <f>IF($D$14&lt;&gt;J$14,"N/A",
IF('Max Test'!$C$127&lt;='Max Test'!$C$132,'Max Test'!$C$132+0.2,
IF('Max Test'!$C$127&lt;='Max Test'!$C$128,'Max Test'!$C$128+0.1,
'Max Test'!$C$127)))</f>
        <v>N/A</v>
      </c>
      <c r="K86" s="514" t="str">
        <f>IF($D$14&lt;&gt;K$14,"N/A",
IF('Reduced Test'!$C$127&lt;='Reduced Test'!$C$132,'Reduced Test'!$C$132+0.2,
IF('Reduced Test'!$C$127&lt;='Reduced Test'!$C$128,'Reduced Test'!$C$128+0.1,
'Reduced Test'!$C$127)))</f>
        <v>N/A</v>
      </c>
      <c r="L86" s="137" t="s">
        <v>51</v>
      </c>
      <c r="Q86" s="131"/>
    </row>
    <row r="87" spans="2:17" ht="16.5" x14ac:dyDescent="0.4">
      <c r="B87" s="731" t="s">
        <v>457</v>
      </c>
      <c r="C87" s="139" t="s">
        <v>643</v>
      </c>
      <c r="D87" s="659" t="str">
        <f>IF(OR($D$14="Unknown",D14="11.1"),"11.2",$D$14) &amp; ".9.6"</f>
        <v>11.2.9.6</v>
      </c>
      <c r="E87" s="715"/>
      <c r="F87" s="514" t="str">
        <f>IF($D$14&lt;&gt;F$14,"N/A",
IF('Max Test'!$C$128&lt;='Max Test'!$C$132,'Max Test'!$C$132+0.1,
'Max Test'!$C$128))</f>
        <v>N/A</v>
      </c>
      <c r="G87" s="514" t="str">
        <f>IF($D$14&lt;&gt;G$14,"N/A",
IF('Max Test'!$C$128&lt;='Max Test'!$C$132,'Max Test'!$C$132+0.1,
'Max Test'!$C$128))</f>
        <v>N/A</v>
      </c>
      <c r="H87" s="514" t="str">
        <f>IF($D$14&lt;&gt;H$14,"N/A",
IF('Max Test'!$C$128&lt;='Max Test'!$C$132,'Max Test'!$C$132+0.1,
'Max Test'!$C$128))</f>
        <v>N/A</v>
      </c>
      <c r="I87" s="514" t="str">
        <f>IF($D$14&lt;&gt;I$14,"N/A",
IF('Max Test'!$C$128&lt;='Reduced Test'!$C$132,'Reduced Test'!$C$132+0.1,
'Reduced Test'!$C$128))</f>
        <v>N/A</v>
      </c>
      <c r="J87" s="514" t="str">
        <f>IF($D$14&lt;&gt;J$14,"N/A",
IF('Max Test'!$C$128&lt;='Max Test'!$C$132,'Max Test'!$C$132+0.1,
'Max Test'!$C$128))</f>
        <v>N/A</v>
      </c>
      <c r="K87" s="514" t="str">
        <f>IF($D$14&lt;&gt;K$14,"N/A",
IF('Max Test'!$C$128&lt;='Reduced Test'!$C$132,'Reduced Test'!$C$132+0.1,
'Reduced Test'!$C$128))</f>
        <v>N/A</v>
      </c>
      <c r="L87" s="137" t="s">
        <v>51</v>
      </c>
      <c r="Q87" s="131"/>
    </row>
    <row r="88" spans="2:17" ht="16.5" x14ac:dyDescent="0.4">
      <c r="B88" s="731" t="s">
        <v>458</v>
      </c>
      <c r="C88" s="139" t="s">
        <v>644</v>
      </c>
      <c r="D88" s="659" t="str">
        <f>IF(OR($D$14="Unknown",D14="11.1"),"11.2",$D$14) &amp; ".9.6"</f>
        <v>11.2.9.6</v>
      </c>
      <c r="E88" s="715"/>
      <c r="F88" s="514" t="str">
        <f>IF($D$14&lt;&gt;F$14,"N/A",'Max Test'!$C$132)</f>
        <v>N/A</v>
      </c>
      <c r="G88" s="514" t="str">
        <f>IF($D$14&lt;&gt;G$14,"N/A",'Max Test'!$C$132)</f>
        <v>N/A</v>
      </c>
      <c r="H88" s="514" t="str">
        <f>IF($D$14&lt;&gt;H$14,"N/A",'Max Test'!$C$132)</f>
        <v>N/A</v>
      </c>
      <c r="I88" s="514" t="str">
        <f>IF($D$14&lt;&gt;I$14,"N/A",'Reduced Test'!$C$132)</f>
        <v>N/A</v>
      </c>
      <c r="J88" s="514" t="str">
        <f>IF($D$14&lt;&gt;J$14,"N/A",'Max Test'!$C$132)</f>
        <v>N/A</v>
      </c>
      <c r="K88" s="514" t="str">
        <f>IF($D$14&lt;&gt;K$14,"N/A",'Reduced Test'!$C$132)</f>
        <v>N/A</v>
      </c>
      <c r="L88" s="137" t="s">
        <v>51</v>
      </c>
      <c r="Q88" s="131"/>
    </row>
    <row r="89" spans="2:17" ht="16.5" x14ac:dyDescent="0.4">
      <c r="B89" s="731" t="s">
        <v>459</v>
      </c>
      <c r="C89" s="139" t="s">
        <v>645</v>
      </c>
      <c r="D89" s="659" t="str">
        <f>IF(OR($D$14="Unknown",D14="11.1"),"11.2",$D$14) &amp; ".9.6"</f>
        <v>11.2.9.6</v>
      </c>
      <c r="E89" s="715"/>
      <c r="F89" s="513" t="str">
        <f>IF($D$14&lt;&gt;F$14,"N/A",(F83-F82)/LN((F86-F88)/(F87-F88)))</f>
        <v>N/A</v>
      </c>
      <c r="G89" s="513" t="str">
        <f t="shared" ref="G89:K89" si="11">IF($D$14&lt;&gt;G$14,"N/A",(G83-G82)/LN((G86-G88)/(G87-G88)))</f>
        <v>N/A</v>
      </c>
      <c r="H89" s="513" t="str">
        <f t="shared" si="11"/>
        <v>N/A</v>
      </c>
      <c r="I89" s="513" t="str">
        <f t="shared" si="11"/>
        <v>N/A</v>
      </c>
      <c r="J89" s="513" t="str">
        <f t="shared" si="11"/>
        <v>N/A</v>
      </c>
      <c r="K89" s="513" t="str">
        <f t="shared" si="11"/>
        <v>N/A</v>
      </c>
      <c r="L89" s="137" t="s">
        <v>36</v>
      </c>
      <c r="Q89" s="131"/>
    </row>
    <row r="90" spans="2:17" ht="16.5" x14ac:dyDescent="0.4">
      <c r="B90" s="731" t="s">
        <v>460</v>
      </c>
      <c r="C90" s="139" t="s">
        <v>646</v>
      </c>
      <c r="D90" s="659" t="str">
        <f>IF(OR($D$14="Unknown",D14="11.1"),"11.2",$D$14) &amp; ".9.7"</f>
        <v>11.2.9.7</v>
      </c>
      <c r="E90" s="715"/>
      <c r="F90" s="513" t="str">
        <f>IF($D$14&lt;&gt;F$14,"N/A",(F86-F88)*EXP(F82/F89))</f>
        <v>N/A</v>
      </c>
      <c r="G90" s="514" t="str">
        <f t="shared" ref="G90:K90" si="12">IF($D$14&lt;&gt;G$14,"N/A",(G86-G88)*EXP(G82/G89))</f>
        <v>N/A</v>
      </c>
      <c r="H90" s="514" t="str">
        <f t="shared" si="12"/>
        <v>N/A</v>
      </c>
      <c r="I90" s="514" t="str">
        <f t="shared" si="12"/>
        <v>N/A</v>
      </c>
      <c r="J90" s="514" t="str">
        <f t="shared" si="12"/>
        <v>N/A</v>
      </c>
      <c r="K90" s="514" t="str">
        <f t="shared" si="12"/>
        <v>N/A</v>
      </c>
      <c r="L90" s="137" t="s">
        <v>51</v>
      </c>
      <c r="Q90" s="131"/>
    </row>
    <row r="91" spans="2:17" ht="16.5" x14ac:dyDescent="0.4">
      <c r="B91" s="837" t="s">
        <v>461</v>
      </c>
      <c r="C91" s="839" t="s">
        <v>647</v>
      </c>
      <c r="D91" s="833" t="str">
        <f>IF(OR($D$14="Unknown",D14="11.1"),"11.2",$D$14) &amp; ".9.8"</f>
        <v>11.2.9.8</v>
      </c>
      <c r="E91" s="715"/>
      <c r="F91" s="514" t="str">
        <f>IF($D$14&lt;&gt;F$14,"N/A",F88-F34)</f>
        <v>N/A</v>
      </c>
      <c r="G91" s="514" t="str">
        <f t="shared" ref="G91:K91" si="13">IF($D$14&lt;&gt;G$14,"N/A",G88-G34)</f>
        <v>N/A</v>
      </c>
      <c r="H91" s="514" t="str">
        <f t="shared" si="13"/>
        <v>N/A</v>
      </c>
      <c r="I91" s="514" t="str">
        <f t="shared" si="13"/>
        <v>N/A</v>
      </c>
      <c r="J91" s="514" t="str">
        <f t="shared" si="13"/>
        <v>N/A</v>
      </c>
      <c r="K91" s="514" t="str">
        <f t="shared" si="13"/>
        <v>N/A</v>
      </c>
      <c r="L91" s="137" t="s">
        <v>51</v>
      </c>
      <c r="Q91" s="131"/>
    </row>
    <row r="92" spans="2:17" ht="16.5" x14ac:dyDescent="0.4">
      <c r="B92" s="868" t="s">
        <v>862</v>
      </c>
      <c r="C92" s="861" t="s">
        <v>652</v>
      </c>
      <c r="D92" s="862" t="str">
        <f>IF(OR($D$14="Unknown",D14="11.1"),"11.2",$D$14) &amp; ".9.9"</f>
        <v>11.2.9.9</v>
      </c>
      <c r="E92" s="715"/>
      <c r="F92" s="948" t="str">
        <f>IF($D$14&lt;&gt;F$14,"N/A",
IFERROR(IF('Test Conditions'!$D$67="No",0.05,
IF(OR(F17=1,AND(F17=9,'General Info &amp; Test Results'!$C$47="Isolated Combustion System")),F174,F164)),""))</f>
        <v>N/A</v>
      </c>
      <c r="G92" s="948" t="str">
        <f>IF($D$14&lt;&gt;G$14,"N/A",
IFERROR(IF('Test Conditions'!$D$67="No",0.05,
IF(OR(G17=1,AND(G17=9,'General Info &amp; Test Results'!$C$47="Isolated Combustion System")),G174,G164)),""))</f>
        <v>N/A</v>
      </c>
      <c r="H92" s="948" t="str">
        <f>IF($D$14&lt;&gt;H$14,"N/A",
IFERROR(IF('Test Conditions'!$D$67="No",0.05,
IF(OR(H17=1,AND(H17=9,'General Info &amp; Test Results'!$C$47="Isolated Combustion System")),H174,H164)),""))</f>
        <v>N/A</v>
      </c>
      <c r="I92" s="948" t="str">
        <f>IF($D$14&lt;&gt;I$14,"N/A",
IFERROR(IF('Test Conditions'!$D$67="No",0.05,
IF(OR(I17=1,AND(I17=9,'General Info &amp; Test Results'!$C$47="Isolated Combustion System")),I174,I164)),""))</f>
        <v>N/A</v>
      </c>
      <c r="J92" s="948" t="str">
        <f>IF($D$14&lt;&gt;J$14,"N/A",
IFERROR(IF('Test Conditions'!$D$67="No",0.05,
IF(OR(J17=1,AND(J17=9,'General Info &amp; Test Results'!$C$47="Isolated Combustion System")),J174,J164)),""))</f>
        <v>N/A</v>
      </c>
      <c r="K92" s="948" t="str">
        <f>IF($D$14&lt;&gt;K$14,"N/A",
IFERROR(IF('Test Conditions'!$D$67="No",0.05,
IF(OR(K17=1,AND(K17=9,'General Info &amp; Test Results'!$C$47="Isolated Combustion System")),K174,K164)),""))</f>
        <v>N/A</v>
      </c>
      <c r="L92" s="137" t="s">
        <v>178</v>
      </c>
      <c r="Q92" s="131"/>
    </row>
    <row r="93" spans="2:17" ht="16.5" x14ac:dyDescent="0.4">
      <c r="B93" s="731" t="s">
        <v>863</v>
      </c>
      <c r="C93" s="521" t="s">
        <v>653</v>
      </c>
      <c r="D93" s="659" t="str">
        <f>IF(OR($D$14="Unknown",D14="11.1"),"11.2",$D$14) &amp; ".9.9"</f>
        <v>11.2.9.9</v>
      </c>
      <c r="E93" s="753"/>
      <c r="F93" s="754" t="str">
        <f ca="1">IF($D$14&lt;&gt;F$14,"N/A",
IF('Test Conditions'!$D$67="No",0.05,
IF('Test Conditions'!$D$66="Yes",F92,
OFFSET('Drop-Downs and Tables'!$B$167,0,MATCH(F17,'Drop-Downs and Tables'!$C$157:$K$157,0)))))</f>
        <v>N/A</v>
      </c>
      <c r="G93" s="754" t="str">
        <f ca="1">IF($D$14&lt;&gt;G$14,"N/A",
IF('Test Conditions'!$D$67="No",0.05,
IF('Test Conditions'!$D$66="Yes",G92,
OFFSET('Drop-Downs and Tables'!$B$167,0,MATCH(G17,'Drop-Downs and Tables'!$C$157:$K$157,0)))))</f>
        <v>N/A</v>
      </c>
      <c r="H93" s="754" t="str">
        <f ca="1">IF($D$14&lt;&gt;H$14,"N/A",
IF('Test Conditions'!$D$67="No",0.05,
IF('Test Conditions'!$D$66="Yes",H92,
OFFSET('Drop-Downs and Tables'!$B$167,0,MATCH(H17,'Drop-Downs and Tables'!$C$157:$K$157,0)))))</f>
        <v>N/A</v>
      </c>
      <c r="I93" s="754" t="str">
        <f ca="1">IF($D$14&lt;&gt;I$14,"N/A",
IF('Test Conditions'!$D$67="No",0.05,
IF('Test Conditions'!$D$66="Yes",I92,
OFFSET('Drop-Downs and Tables'!$B$167,0,MATCH(I17,'Drop-Downs and Tables'!$C$157:$K$157,0)))))</f>
        <v>N/A</v>
      </c>
      <c r="J93" s="754" t="str">
        <f ca="1">IF($D$14&lt;&gt;J$14,"N/A",
IF('Test Conditions'!$D$67="No",0.05,
IF('Test Conditions'!$D$66="Yes",J92,
OFFSET('Drop-Downs and Tables'!$B$167,0,MATCH(J17,'Drop-Downs and Tables'!$C$157:$K$157,0)))))</f>
        <v>N/A</v>
      </c>
      <c r="K93" s="754" t="str">
        <f ca="1">IF($D$14&lt;&gt;K$14,"N/A",
IF('Test Conditions'!$D$67="No",0.05,
IF('Test Conditions'!$D$66="Yes",K92,
OFFSET('Drop-Downs and Tables'!$B$167,0,MATCH(K17,'Drop-Downs and Tables'!$C$157:$K$157,0)))))</f>
        <v>N/A</v>
      </c>
      <c r="L93" s="137" t="s">
        <v>178</v>
      </c>
      <c r="Q93" s="131"/>
    </row>
    <row r="94" spans="2:17" ht="17.5" x14ac:dyDescent="0.4">
      <c r="B94" s="731" t="s">
        <v>74</v>
      </c>
      <c r="C94" s="521" t="s">
        <v>656</v>
      </c>
      <c r="D94" s="659" t="str">
        <f>IF(OR($D$14="Unknown",D14="11.1"),"11.2",$D$14) &amp; ".9.9"</f>
        <v>11.2.9.9</v>
      </c>
      <c r="E94" s="715"/>
      <c r="F94" s="200" t="str">
        <f>IF($D$14&lt;&gt;F$14,"N/A",
IF(OR(F17=1,F17=2,F17=5,F17=6),1,
IF(F17=3,0.4,
IF(OR(F17=4,F17=8),IF('Test Conditions'!$D$66="No",0.85,(0.79+F92)/1.4),"N/A"))))</f>
        <v>N/A</v>
      </c>
      <c r="G94" s="200" t="str">
        <f>IF($D$14&lt;&gt;G$14,"N/A",
IF(OR(G17=1,G17=2,G17=5,G17=6),1,
IF(G17=3,0.4,
IF(OR(G17=4,G17=8),IF('Test Conditions'!$D$66="No",0.85,(0.79+G92)/1.4),"N/A"))))</f>
        <v>N/A</v>
      </c>
      <c r="H94" s="200" t="str">
        <f>IF($D$14&lt;&gt;H$14,"N/A",
IF(OR(H17=1,H17=2,H17=5,H17=6),1,
IF(H17=3,0.4,
IF(OR(H17=4,H17=8),IF('Test Conditions'!$D$66="No",0.85,(0.79+H92)/1.4),"N/A"))))</f>
        <v>N/A</v>
      </c>
      <c r="I94" s="200" t="str">
        <f>IF($D$14&lt;&gt;I$14,"N/A",
IF(OR(I17=1,I17=2,I17=5,I17=6),1,
IF(I17=3,0.4,
IF(OR(I17=4,I17=8),IF('Test Conditions'!$D$66="No",0.85,(0.79+I92)/1.4),"N/A"))))</f>
        <v>N/A</v>
      </c>
      <c r="J94" s="200" t="str">
        <f>IF($D$14&lt;&gt;J$14,"N/A",
IF(OR(J17=1,J17=2,J17=5,J17=6),1,
IF(J17=3,0.4,
IF(OR(J17=4,J17=8),IF('Test Conditions'!$D$66="No",0.85,(0.79+J92)/1.4),"N/A"))))</f>
        <v>N/A</v>
      </c>
      <c r="K94" s="200" t="str">
        <f>IF($D$14&lt;&gt;K$14,"N/A",
IF(OR(K17=1,K17=2,K17=5,K17=6),1,
IF(K17=3,0.4,
IF(OR(K17=4,K17=8),IF('Test Conditions'!$D$66="No",0.85,(0.79+K92)/1.4),"N/A"))))</f>
        <v>N/A</v>
      </c>
      <c r="L94" s="137" t="s">
        <v>178</v>
      </c>
      <c r="Q94" s="131"/>
    </row>
    <row r="95" spans="2:17" ht="16.5" x14ac:dyDescent="0.4">
      <c r="B95" s="731" t="s">
        <v>464</v>
      </c>
      <c r="C95" s="521" t="s">
        <v>657</v>
      </c>
      <c r="D95" s="659" t="str">
        <f>IF(OR($D$14="Unknown",D14="11.1"),"11.2",$D$14) &amp; ".9.9"</f>
        <v>11.2.9.9</v>
      </c>
      <c r="E95" s="715"/>
      <c r="F95" s="514" t="str">
        <f>IF($D$14&lt;&gt;F$14,"N/A",
IFERROR(IF(OR(F17=9,F17=10),"N/A",
IF(OR(F17&lt;=4,AND(F17&gt;=5,F17&lt;=8,F31*F94&gt;F93)),F93*F91/(F31*F94),
IF(AND(F17&gt;=5,F17&lt;=8,F31*F94&lt;=F93),F91,""))),""))</f>
        <v>N/A</v>
      </c>
      <c r="G95" s="514" t="str">
        <f t="shared" ref="G95:K95" si="14">IF($D$14&lt;&gt;G$14,"N/A",
IFERROR(IF(OR(G17=9,G17=10),"N/A",
IF(OR(G17&lt;=4,AND(G17&gt;=5,G17&lt;=8,G31*G94&gt;G93)),G93*G91/(G31*G94),
IF(AND(G17&gt;=5,G17&lt;=8,G31*G94&lt;=G93),G91,""))),""))</f>
        <v>N/A</v>
      </c>
      <c r="H95" s="514" t="str">
        <f t="shared" si="14"/>
        <v>N/A</v>
      </c>
      <c r="I95" s="514" t="str">
        <f t="shared" si="14"/>
        <v>N/A</v>
      </c>
      <c r="J95" s="514" t="str">
        <f t="shared" si="14"/>
        <v>N/A</v>
      </c>
      <c r="K95" s="514" t="str">
        <f t="shared" si="14"/>
        <v>N/A</v>
      </c>
      <c r="L95" s="137" t="s">
        <v>51</v>
      </c>
      <c r="Q95" s="131"/>
    </row>
    <row r="96" spans="2:17" ht="16.5" x14ac:dyDescent="0.4">
      <c r="B96" s="731" t="s">
        <v>465</v>
      </c>
      <c r="C96" s="521" t="s">
        <v>658</v>
      </c>
      <c r="D96" s="659" t="str">
        <f>IF(OR($D$14="Unknown",D14="11.1"),"11.2",$D$14) &amp; ".9.10"</f>
        <v>11.2.9.10</v>
      </c>
      <c r="E96" s="715"/>
      <c r="F96" s="513" t="str">
        <f>IF($D$14&lt;&gt;F$14,"N/A",
IFERROR(IF(OR(F17=9,F17=10),"",
IF(OR(F17&lt;=4,AND(F17&gt;=5,F17&lt;=8,F31*F94&gt;F93)),F93*F90/(F31*F94),
IF(AND(F17&gt;=5,F17&lt;=8,F31*F94&lt;=F93),F90,""))),""))</f>
        <v>N/A</v>
      </c>
      <c r="G96" s="543"/>
      <c r="H96" s="514" t="str">
        <f>IF($D$14&lt;&gt;H$14,"N/A",
IFERROR(IF(OR(H17=9,H17=10),"",
IF(OR(H17&lt;=4,AND(H17&gt;=5,H17&lt;=8,H31*H94&gt;H93)),H93*H90/(H31*H94),
IF(AND(H17&gt;=5,H17&lt;=8,H31*H94&lt;=H93),H90,""))),""))</f>
        <v>N/A</v>
      </c>
      <c r="I96" s="514" t="str">
        <f>IF($D$14&lt;&gt;I$14,"N/A",
IFERROR(IF(OR(I17=9,I17=10),"",
IF(OR(I17&lt;=4,AND(I17&gt;=5,I17&lt;=8,I31*I94&gt;I93)),I93*I90/(I31*I94),
IF(AND(I17&gt;=5,I17&lt;=8,I31*I94&lt;=I93),I90,""))),""))</f>
        <v>N/A</v>
      </c>
      <c r="J96" s="140"/>
      <c r="K96" s="716"/>
      <c r="L96" s="137" t="s">
        <v>51</v>
      </c>
      <c r="Q96" s="131"/>
    </row>
    <row r="97" spans="2:17" ht="16.5" x14ac:dyDescent="0.4">
      <c r="B97" s="731" t="s">
        <v>467</v>
      </c>
      <c r="C97" s="521" t="s">
        <v>659</v>
      </c>
      <c r="D97" s="659" t="str">
        <f>IF(OR($D$14="Unknown",D14="11.1"),"11.2",$D$14) &amp; ".9.11"</f>
        <v>11.2.9.11</v>
      </c>
      <c r="E97" s="715"/>
      <c r="F97" s="514" t="str">
        <f>IF($D$14&lt;&gt;F$14,"N/A",9.68)</f>
        <v>N/A</v>
      </c>
      <c r="G97" s="514" t="str">
        <f t="shared" ref="G97" si="15">IF($D$14&lt;&gt;G$14,"N/A",9.68)</f>
        <v>N/A</v>
      </c>
      <c r="H97" s="514" t="str">
        <f>IF($D$14&lt;&gt;H$14,"N/A",15)</f>
        <v>N/A</v>
      </c>
      <c r="I97" s="514" t="str">
        <f t="shared" ref="I97:K97" si="16">IF($D$14&lt;&gt;I$14,"N/A",15)</f>
        <v>N/A</v>
      </c>
      <c r="J97" s="514" t="str">
        <f t="shared" si="16"/>
        <v>N/A</v>
      </c>
      <c r="K97" s="514" t="str">
        <f t="shared" si="16"/>
        <v>N/A</v>
      </c>
      <c r="L97" s="137" t="s">
        <v>36</v>
      </c>
      <c r="Q97" s="131"/>
    </row>
    <row r="98" spans="2:17" ht="16.5" x14ac:dyDescent="0.4">
      <c r="B98" s="731" t="s">
        <v>466</v>
      </c>
      <c r="C98" s="521" t="s">
        <v>660</v>
      </c>
      <c r="D98" s="659" t="str">
        <f>IF(OR($D$14="Unknown",D14="11.1"),"11.2",$D$14) &amp; ".9.11"</f>
        <v>11.2.9.11</v>
      </c>
      <c r="E98" s="715"/>
      <c r="F98" s="514" t="str">
        <f t="shared" ref="F98:K98" si="17">IF($D$14&lt;&gt;F$14,"N/A",F97/F80)</f>
        <v>N/A</v>
      </c>
      <c r="G98" s="514" t="str">
        <f t="shared" si="17"/>
        <v>N/A</v>
      </c>
      <c r="H98" s="514" t="str">
        <f t="shared" si="17"/>
        <v>N/A</v>
      </c>
      <c r="I98" s="514" t="str">
        <f>IF($D$14&lt;&gt;I$14,"N/A",I97/I80)</f>
        <v>N/A</v>
      </c>
      <c r="J98" s="514" t="str">
        <f t="shared" si="17"/>
        <v>N/A</v>
      </c>
      <c r="K98" s="514" t="str">
        <f t="shared" si="17"/>
        <v>N/A</v>
      </c>
      <c r="L98" s="137" t="s">
        <v>178</v>
      </c>
      <c r="Q98" s="131"/>
    </row>
    <row r="99" spans="2:17" ht="16.5" x14ac:dyDescent="0.4">
      <c r="B99" s="731" t="s">
        <v>468</v>
      </c>
      <c r="C99" s="521" t="s">
        <v>661</v>
      </c>
      <c r="D99" s="659" t="str">
        <f>IF(OR($D$14="Unknown",D14="11.1"),"11.2",$D$14) &amp; ".9.12"</f>
        <v>11.2.9.12</v>
      </c>
      <c r="E99" s="715"/>
      <c r="F99" s="514" t="str">
        <f>IF($D$14&lt;&gt;F$14,"N/A",33.26)</f>
        <v>N/A</v>
      </c>
      <c r="G99" s="514" t="str">
        <f t="shared" ref="G99" si="18">IF($D$14&lt;&gt;G$14,"N/A",33.26)</f>
        <v>N/A</v>
      </c>
      <c r="H99" s="514" t="str">
        <f>IF($D$14&lt;&gt;H$14,"N/A",15)</f>
        <v>N/A</v>
      </c>
      <c r="I99" s="514" t="str">
        <f t="shared" ref="I99:K99" si="19">IF($D$14&lt;&gt;I$14,"N/A",15)</f>
        <v>N/A</v>
      </c>
      <c r="J99" s="514" t="str">
        <f t="shared" si="19"/>
        <v>N/A</v>
      </c>
      <c r="K99" s="514" t="str">
        <f t="shared" si="19"/>
        <v>N/A</v>
      </c>
      <c r="L99" s="137" t="s">
        <v>36</v>
      </c>
      <c r="Q99" s="131"/>
    </row>
    <row r="100" spans="2:17" ht="16.5" x14ac:dyDescent="0.4">
      <c r="B100" s="731" t="s">
        <v>469</v>
      </c>
      <c r="C100" s="521" t="s">
        <v>662</v>
      </c>
      <c r="D100" s="659" t="str">
        <f>IF(OR($D$14="Unknown",D14="11.1"),"11.2",$D$14) &amp; ".9.12"</f>
        <v>11.2.9.12</v>
      </c>
      <c r="E100" s="715"/>
      <c r="F100" s="513" t="str">
        <f t="shared" ref="F100:K100" si="20">IF($D$14&lt;&gt;F$14,"N/A",F99/F89)</f>
        <v>N/A</v>
      </c>
      <c r="G100" s="514" t="str">
        <f t="shared" si="20"/>
        <v>N/A</v>
      </c>
      <c r="H100" s="514" t="str">
        <f t="shared" si="20"/>
        <v>N/A</v>
      </c>
      <c r="I100" s="514" t="str">
        <f t="shared" si="20"/>
        <v>N/A</v>
      </c>
      <c r="J100" s="514" t="str">
        <f t="shared" si="20"/>
        <v>N/A</v>
      </c>
      <c r="K100" s="514" t="str">
        <f t="shared" si="20"/>
        <v>N/A</v>
      </c>
      <c r="L100" s="137" t="s">
        <v>178</v>
      </c>
      <c r="Q100" s="131"/>
    </row>
    <row r="101" spans="2:17" ht="16.5" x14ac:dyDescent="0.4">
      <c r="B101" s="731" t="s">
        <v>470</v>
      </c>
      <c r="C101" s="521" t="s">
        <v>663</v>
      </c>
      <c r="D101" s="659" t="str">
        <f>IF(OR($D$14="Unknown",D14="11.1"),"11.2",$D$14) &amp; ".9.13"</f>
        <v>11.2.9.13</v>
      </c>
      <c r="E101" s="715"/>
      <c r="F101" s="786" t="str">
        <f t="shared" ref="F101:K101" si="21">IF($D$14&lt;&gt;F$14,"N/A",(1-F90*EXP(-F100)/(F37-F88))/
(1-F81*F90*EXP(-(F98+F100))/((F37-F88)^2)))</f>
        <v>N/A</v>
      </c>
      <c r="G101" s="514" t="str">
        <f t="shared" si="21"/>
        <v>N/A</v>
      </c>
      <c r="H101" s="514" t="str">
        <f t="shared" si="21"/>
        <v>N/A</v>
      </c>
      <c r="I101" s="514" t="str">
        <f t="shared" si="21"/>
        <v>N/A</v>
      </c>
      <c r="J101" s="514" t="str">
        <f t="shared" si="21"/>
        <v>N/A</v>
      </c>
      <c r="K101" s="514" t="str">
        <f t="shared" si="21"/>
        <v>N/A</v>
      </c>
      <c r="L101" s="137" t="s">
        <v>178</v>
      </c>
      <c r="Q101" s="131"/>
    </row>
    <row r="102" spans="2:17" ht="16.5" x14ac:dyDescent="0.4">
      <c r="B102" s="731" t="s">
        <v>472</v>
      </c>
      <c r="C102" s="521" t="s">
        <v>664</v>
      </c>
      <c r="D102" s="659" t="str">
        <f>IF(OR($D$14="Unknown",D14="11.1"),"11.2",$D$14) &amp; ".9.14"</f>
        <v>11.2.9.14</v>
      </c>
      <c r="E102" s="715"/>
      <c r="F102" s="515" t="str">
        <f>IF($D$14&lt;&gt;F$14,"N/A",IF('General Info &amp; Test Results'!$C$42="","",IF('General Info &amp; Test Results'!$C$42="Continuous Burning Pilot",1,0.9)))</f>
        <v>N/A</v>
      </c>
      <c r="G102" s="515" t="str">
        <f>IF($D$14&lt;&gt;G$14,"N/A",IF('General Info &amp; Test Results'!$C$42="","",IF('General Info &amp; Test Results'!$C$42="Continuous Burning Pilot",1,0.9)))</f>
        <v>N/A</v>
      </c>
      <c r="H102" s="515" t="str">
        <f>IF($D$14&lt;&gt;H$14,"N/A",IF('General Info &amp; Test Results'!$C$42="","",IF('General Info &amp; Test Results'!$C$42="Continuous Burning Pilot",1,0.9)))</f>
        <v>N/A</v>
      </c>
      <c r="I102" s="515" t="str">
        <f>IF($D$14&lt;&gt;I$14,"N/A",IF('General Info &amp; Test Results'!$C$42="","",IF('General Info &amp; Test Results'!$C$42="Continuous Burning Pilot",1,0.9)))</f>
        <v>N/A</v>
      </c>
      <c r="J102" s="515" t="str">
        <f>IF($D$14&lt;&gt;J$14,"N/A",IF('General Info &amp; Test Results'!$C$42="","",IF('General Info &amp; Test Results'!$C$42="Continuous Burning Pilot",1,0.9)))</f>
        <v>N/A</v>
      </c>
      <c r="K102" s="515" t="str">
        <f>IF($D$14&lt;&gt;K$14,"N/A",IF('General Info &amp; Test Results'!$C$42="","",IF('General Info &amp; Test Results'!$C$42="Continuous Burning Pilot",1,0.9)))</f>
        <v>N/A</v>
      </c>
      <c r="L102" s="137" t="s">
        <v>178</v>
      </c>
      <c r="Q102" s="131"/>
    </row>
    <row r="103" spans="2:17" ht="16.5" x14ac:dyDescent="0.4">
      <c r="B103" s="731" t="s">
        <v>471</v>
      </c>
      <c r="C103" s="521" t="s">
        <v>665</v>
      </c>
      <c r="D103" s="659" t="str">
        <f>IF(OR($D$14="Unknown",D14="11.1"),"11.2",$D$14) &amp; ".9.14"</f>
        <v>11.2.9.14</v>
      </c>
      <c r="E103" s="715"/>
      <c r="F103" s="786" t="str">
        <f>IF($D$14&lt;&gt;F$14,"N/A",
F102*
(1-F81*EXP(-F98)/(F37-F88))/
(1-F81*F90*EXP(-(F98+F100))/((F37-F88)^2)))</f>
        <v>N/A</v>
      </c>
      <c r="G103" s="514" t="str">
        <f t="shared" ref="G103:K103" si="22">IF($D$14&lt;&gt;G$14,"N/A",
G102*
(1-G81*EXP(-G98)/(G37-G88))/
(1-G81*G90*EXP(-(G98+G100))/((G37-G88)^2)))</f>
        <v>N/A</v>
      </c>
      <c r="H103" s="514" t="str">
        <f t="shared" si="22"/>
        <v>N/A</v>
      </c>
      <c r="I103" s="514" t="str">
        <f t="shared" si="22"/>
        <v>N/A</v>
      </c>
      <c r="J103" s="514" t="str">
        <f t="shared" si="22"/>
        <v>N/A</v>
      </c>
      <c r="K103" s="514" t="str">
        <f t="shared" si="22"/>
        <v>N/A</v>
      </c>
      <c r="L103" s="137" t="s">
        <v>178</v>
      </c>
      <c r="Q103" s="131"/>
    </row>
    <row r="104" spans="2:17" ht="31" x14ac:dyDescent="0.4">
      <c r="B104" s="731" t="s">
        <v>473</v>
      </c>
      <c r="C104" s="521" t="s">
        <v>666</v>
      </c>
      <c r="D104" s="659" t="str">
        <f>IF(OR($D$14="Unknown",D14="11.1"),"11.2",$D$14) &amp; ".9.15"</f>
        <v>11.2.9.15</v>
      </c>
      <c r="E104" s="715"/>
      <c r="F104" s="514" t="str">
        <f t="shared" ref="F104:K104" si="23">IF($D$14&lt;&gt;F$14,"N/A",IF(OR(F17&lt;=8,F17=""),"N/A",1.22))</f>
        <v>N/A</v>
      </c>
      <c r="G104" s="514" t="str">
        <f t="shared" si="23"/>
        <v>N/A</v>
      </c>
      <c r="H104" s="514" t="str">
        <f t="shared" si="23"/>
        <v>N/A</v>
      </c>
      <c r="I104" s="514" t="str">
        <f t="shared" si="23"/>
        <v>N/A</v>
      </c>
      <c r="J104" s="514" t="str">
        <f t="shared" si="23"/>
        <v>N/A</v>
      </c>
      <c r="K104" s="514" t="str">
        <f t="shared" si="23"/>
        <v>N/A</v>
      </c>
      <c r="L104" s="137" t="s">
        <v>178</v>
      </c>
      <c r="Q104" s="131"/>
    </row>
    <row r="105" spans="2:17" ht="31" x14ac:dyDescent="0.4">
      <c r="B105" s="731" t="s">
        <v>474</v>
      </c>
      <c r="C105" s="521" t="s">
        <v>667</v>
      </c>
      <c r="D105" s="659" t="str">
        <f>IF(OR($D$14="Unknown",D14="11.1"),"11.2",$D$14) &amp; ".9.15"</f>
        <v>11.2.9.15</v>
      </c>
      <c r="E105" s="715"/>
      <c r="F105" s="514" t="str">
        <f>IF($D$14&lt;&gt;F$14,"N/A",
IF(F17&lt;=8,F90*F103,
F103*F104*F90))</f>
        <v>N/A</v>
      </c>
      <c r="G105" s="514" t="str">
        <f>IF($D$14&lt;&gt;G$14,"N/A",IF(G17&lt;=8,G90*G103,G103*G104*G90))</f>
        <v>N/A</v>
      </c>
      <c r="H105" s="514" t="str">
        <f>IF($D$14&lt;&gt;H$14,"N/A",IF(H17&lt;=8,H90*H103,H103*H104*H90))</f>
        <v>N/A</v>
      </c>
      <c r="I105" s="514" t="str">
        <f>IF($D$14&lt;&gt;I$14,"N/A",IF(I17&lt;=8,I90*I103,I103*I104*I90))</f>
        <v>N/A</v>
      </c>
      <c r="J105" s="514" t="str">
        <f>IF($D$14&lt;&gt;J$14,"N/A",IF(J17&lt;=8,J90*J103,J103*J104*J90))</f>
        <v>N/A</v>
      </c>
      <c r="K105" s="514" t="str">
        <f>IF($D$14&lt;&gt;K$14,"N/A",IF(K17&lt;=8,K90*K103,K103*K104*K90))</f>
        <v>N/A</v>
      </c>
      <c r="L105" s="137" t="s">
        <v>51</v>
      </c>
      <c r="Q105" s="131"/>
    </row>
    <row r="106" spans="2:17" ht="31" x14ac:dyDescent="0.4">
      <c r="B106" s="731" t="s">
        <v>616</v>
      </c>
      <c r="C106" s="521" t="s">
        <v>668</v>
      </c>
      <c r="D106" s="659" t="str">
        <f>IF(OR($D$14="Unknown",D14="11.1"),"11.2",$D$14) &amp; ".9.16"</f>
        <v>11.2.9.16</v>
      </c>
      <c r="E106" s="715"/>
      <c r="F106" s="514" t="str">
        <f t="shared" ref="F106:K106" si="24">IF($D$14&lt;&gt;F$14,"N/A",IF(F17&lt;=8,F91,F104*F91))</f>
        <v>N/A</v>
      </c>
      <c r="G106" s="514" t="str">
        <f t="shared" si="24"/>
        <v>N/A</v>
      </c>
      <c r="H106" s="514" t="str">
        <f t="shared" si="24"/>
        <v>N/A</v>
      </c>
      <c r="I106" s="514" t="str">
        <f t="shared" si="24"/>
        <v>N/A</v>
      </c>
      <c r="J106" s="514" t="str">
        <f t="shared" si="24"/>
        <v>N/A</v>
      </c>
      <c r="K106" s="514" t="str">
        <f t="shared" si="24"/>
        <v>N/A</v>
      </c>
      <c r="L106" s="137" t="s">
        <v>51</v>
      </c>
      <c r="Q106" s="131"/>
    </row>
    <row r="107" spans="2:17" ht="31" x14ac:dyDescent="0.4">
      <c r="B107" s="731" t="s">
        <v>475</v>
      </c>
      <c r="C107" s="521" t="s">
        <v>669</v>
      </c>
      <c r="D107" s="659" t="str">
        <f>IF(OR($D$14="Unknown",D14="11.1"),"11.2",$D$14) &amp; ".9.17"</f>
        <v>11.2.9.17</v>
      </c>
      <c r="E107" s="715"/>
      <c r="F107" s="514" t="str">
        <f>IF($D$14&lt;&gt;F$14,"N/A",IF(F17&lt;=8,F96*F103,""))</f>
        <v>N/A</v>
      </c>
      <c r="G107" s="540"/>
      <c r="H107" s="514" t="str">
        <f>IF($D$14&lt;&gt;H$14,"N/A",IF(H17&lt;=8,H96*H103,""))</f>
        <v>N/A</v>
      </c>
      <c r="I107" s="514" t="str">
        <f>IF($D$14&lt;&gt;I$14,"N/A",IF(I17&lt;=8,I96*I103,""))</f>
        <v>N/A</v>
      </c>
      <c r="J107" s="140"/>
      <c r="K107" s="716"/>
      <c r="L107" s="137" t="s">
        <v>51</v>
      </c>
      <c r="Q107" s="131"/>
    </row>
    <row r="108" spans="2:17" ht="16.5" x14ac:dyDescent="0.4">
      <c r="B108" s="731" t="s">
        <v>476</v>
      </c>
      <c r="C108" s="521" t="s">
        <v>670</v>
      </c>
      <c r="D108" s="659" t="str">
        <f>IF(OR($D$14="Unknown",D14="11.1"),"11.2",$D$14) &amp; ".9.18"</f>
        <v>11.2.9.18</v>
      </c>
      <c r="E108" s="715"/>
      <c r="F108" s="785" t="str">
        <f t="shared" ref="F108:K108" si="25">IF(OR(F17=5,F17=6,F17=8),$C$257,"N/A")</f>
        <v>N/A</v>
      </c>
      <c r="G108" s="544" t="str">
        <f t="shared" si="25"/>
        <v>N/A</v>
      </c>
      <c r="H108" s="544" t="str">
        <f t="shared" si="25"/>
        <v>N/A</v>
      </c>
      <c r="I108" s="544" t="str">
        <f t="shared" si="25"/>
        <v>N/A</v>
      </c>
      <c r="J108" s="544" t="str">
        <f t="shared" si="25"/>
        <v>N/A</v>
      </c>
      <c r="K108" s="544" t="str">
        <f t="shared" si="25"/>
        <v>N/A</v>
      </c>
      <c r="L108" s="137" t="s">
        <v>178</v>
      </c>
      <c r="Q108" s="131"/>
    </row>
    <row r="109" spans="2:17" ht="16.5" x14ac:dyDescent="0.4">
      <c r="B109" s="731" t="s">
        <v>477</v>
      </c>
      <c r="C109" s="521" t="s">
        <v>671</v>
      </c>
      <c r="D109" s="659" t="str">
        <f>IF(OR($D$14="Unknown",D14="11.1"),"11.2",$D$14) &amp; ".9.18"</f>
        <v>11.2.9.18</v>
      </c>
      <c r="E109" s="715"/>
      <c r="F109" s="574" t="str">
        <f t="shared" ref="F109:K109" si="26">IF(OR(F17=5,F17=6,F17=8),$C$258,"N/A")</f>
        <v>N/A</v>
      </c>
      <c r="G109" s="516" t="str">
        <f t="shared" si="26"/>
        <v>N/A</v>
      </c>
      <c r="H109" s="516" t="str">
        <f t="shared" si="26"/>
        <v>N/A</v>
      </c>
      <c r="I109" s="516" t="str">
        <f t="shared" si="26"/>
        <v>N/A</v>
      </c>
      <c r="J109" s="516" t="str">
        <f t="shared" si="26"/>
        <v>N/A</v>
      </c>
      <c r="K109" s="516" t="str">
        <f t="shared" si="26"/>
        <v>N/A</v>
      </c>
      <c r="L109" s="137" t="s">
        <v>178</v>
      </c>
      <c r="Q109" s="131"/>
    </row>
    <row r="110" spans="2:17" ht="16.5" x14ac:dyDescent="0.4">
      <c r="B110" s="731" t="s">
        <v>74</v>
      </c>
      <c r="C110" s="521" t="s">
        <v>654</v>
      </c>
      <c r="D110" s="659" t="str">
        <f>IF(OR($D$14="Unknown",D14="11.1"),"11.2",$D$14) &amp; ".9.18"</f>
        <v>11.2.9.18</v>
      </c>
      <c r="E110" s="715"/>
      <c r="F110" s="574" t="str">
        <f>IF(F17&gt;=9,"N/A",
IF(OR(F17=1,F17=2),1,
IF(F17=3,F93,
IF(F17=4,IF('Test Conditions'!$D$66="No",0.85,(0.79+F92)/1.4),
IF(OR(F17=5,F17=6),F108,
IF('Test Conditions'!$D$66="No",0.85*F108,(0.79+F92)/1.4*F108))))))</f>
        <v>N/A</v>
      </c>
      <c r="G110" s="755" t="str">
        <f>IF(G17&gt;=9,"N/A",
IF(OR(G17=1,G17=2),1,
IF(G17=3,G93,
IF(G17=4,IF('Test Conditions'!$D$66="No",0.85,(0.79+G92)/1.4),
IF(OR(G17=5,G17=6),G108,
IF('Test Conditions'!$D$66="No",0.85*G108,(0.79+G92)/1.4*G108))))))</f>
        <v>N/A</v>
      </c>
      <c r="H110" s="755" t="str">
        <f>IF(H17&gt;=9,"N/A",
IF(OR(H17=1,H17=2),1,
IF(H17=3,H93,
IF(H17=4,IF('Test Conditions'!$D$66="No",0.85,(0.79+H92)/1.4),
IF(OR(H17=5,H17=6),H108,
IF('Test Conditions'!$D$66="No",0.85*H108,(0.79+H92)/1.4*H108))))))</f>
        <v>N/A</v>
      </c>
      <c r="I110" s="755" t="str">
        <f>IF(I17&gt;=9,"N/A",
IF(OR(I17=1,I17=2),1,
IF(I17=3,I93,
IF(I17=4,IF('Test Conditions'!$D$66="No",0.85,(0.79+I92)/1.4),
IF(OR(I17=5,I17=6),I108,
IF('Test Conditions'!$D$66="No",0.85*I108,(0.79+I92)/1.4*I108))))))</f>
        <v>N/A</v>
      </c>
      <c r="J110" s="755" t="str">
        <f>IF(J17&gt;=9,"N/A",
IF(OR(J17=1,J17=2),1,
IF(J17=3,J93,
IF(J17=4,IF('Test Conditions'!$D$66="No",0.85,(0.79+J92)/1.4),
IF(OR(J17=5,J17=6),J108,
IF('Test Conditions'!$D$66="No",0.85*J108,(0.79+J92)/1.4*J108))))))</f>
        <v>N/A</v>
      </c>
      <c r="K110" s="755" t="str">
        <f>IF(K17&gt;=9,"N/A",
IF(OR(K17=1,K17=2),1,
IF(K17=3,K93,
IF(K17=4,IF('Test Conditions'!$D$66="No",0.85,(0.79+K92)/1.4),
IF(OR(K17=5,K17=6),K108,
IF('Test Conditions'!$D$66="No",0.85*K108,(0.79+K92)/1.4*K108))))))</f>
        <v>N/A</v>
      </c>
      <c r="L110" s="137" t="s">
        <v>178</v>
      </c>
      <c r="Q110" s="1222"/>
    </row>
    <row r="111" spans="2:17" ht="16.5" x14ac:dyDescent="0.4">
      <c r="B111" s="731" t="s">
        <v>864</v>
      </c>
      <c r="C111" s="521" t="s">
        <v>654</v>
      </c>
      <c r="D111" s="714" t="str">
        <f>IF(OR($D$14="Unknown",D14="11.1"),"11.2",$D$14) &amp; ".9.18" &amp; " or 11.7.2"</f>
        <v>11.2.9.18 or 11.7.2</v>
      </c>
      <c r="E111" s="715"/>
      <c r="F111" s="574" t="str">
        <f>IF($D$14&lt;&gt;F$14,"N/A",IF(AND(OR(F17=2,F17=3,F17=4,F17=6,F17=8),OR('General Info &amp; Test Results'!$C$40="Power",'General Info &amp; Test Results'!$C$48&lt;&gt;"No")),F168,
IF(F17&lt;=8,F110,"N/A")))</f>
        <v>N/A</v>
      </c>
      <c r="G111" s="755" t="str">
        <f>IF($D$14&lt;&gt;G$14,"N/A",IF(AND(OR(G17=2,G17=3,G17=4,G17=6,G17=8),OR('General Info &amp; Test Results'!$C$40="Power",'General Info &amp; Test Results'!$C$48&lt;&gt;"No")),G168,
IF(G17&lt;=8,G110,"N/A")))</f>
        <v>N/A</v>
      </c>
      <c r="H111" s="755" t="str">
        <f>IF($D$14&lt;&gt;H$14,"N/A",IF(AND(OR(H17=2,H17=3,H17=4,H17=6,H17=8),OR('General Info &amp; Test Results'!$C$40="Power",'General Info &amp; Test Results'!$C$48&lt;&gt;"No")),H168,
IF(H17&lt;=8,H110,"N/A")))</f>
        <v>N/A</v>
      </c>
      <c r="I111" s="755" t="str">
        <f>IF($D$14&lt;&gt;I$14,"N/A",IF(AND(OR(I17=2,I17=3,I17=4,I17=6,I17=8),OR('General Info &amp; Test Results'!$C$40="Power",'General Info &amp; Test Results'!$C$48&lt;&gt;"No")),I168,
IF(I17&lt;=8,I110,"N/A")))</f>
        <v>N/A</v>
      </c>
      <c r="J111" s="755" t="str">
        <f>IF($D$14&lt;&gt;J$14,"N/A",IF(AND(OR(J17=2,J17=3,J17=4,J17=6,J17=8),OR('General Info &amp; Test Results'!$C$40="Power",'General Info &amp; Test Results'!$C$48&lt;&gt;"No")),J168,
IF(J17&lt;=8,J110,"N/A")))</f>
        <v>N/A</v>
      </c>
      <c r="K111" s="755" t="str">
        <f>IF($D$14&lt;&gt;K$14,"N/A",IF(AND(OR(K17=2,K17=3,K17=4,K17=6,K17=8),OR('General Info &amp; Test Results'!$C$40="Power",'General Info &amp; Test Results'!$C$48&lt;&gt;"No")),K168,
IF(K17&lt;=8,K110,"N/A")))</f>
        <v>N/A</v>
      </c>
      <c r="L111" s="137" t="s">
        <v>178</v>
      </c>
      <c r="Q111" s="1222"/>
    </row>
    <row r="112" spans="2:17" x14ac:dyDescent="0.4">
      <c r="B112" s="731" t="s">
        <v>478</v>
      </c>
      <c r="C112" s="139" t="s">
        <v>479</v>
      </c>
      <c r="D112" s="659" t="str">
        <f>IF(OR($D$14="Unknown",D14="11.1"),"11.2",$D$14) &amp; ".9.19"</f>
        <v>11.2.9.19</v>
      </c>
      <c r="E112" s="715"/>
      <c r="F112" s="574" t="str">
        <f t="shared" ref="F112:H117" si="27">IF($D$14&lt;&gt;F$14,"N/A",$G380)</f>
        <v>N/A</v>
      </c>
      <c r="G112" s="574" t="str">
        <f t="shared" si="27"/>
        <v>N/A</v>
      </c>
      <c r="H112" s="574" t="str">
        <f t="shared" si="27"/>
        <v>N/A</v>
      </c>
      <c r="I112" s="574" t="str">
        <f t="shared" ref="I112:I117" si="28">IF($D$14&lt;&gt;I$14,"N/A",$G389)</f>
        <v>N/A</v>
      </c>
      <c r="J112" s="574" t="str">
        <f t="shared" ref="J112:J117" si="29">IF($D$14&lt;&gt;J$14,"N/A",$G380)</f>
        <v>N/A</v>
      </c>
      <c r="K112" s="574" t="str">
        <f t="shared" ref="K112:K117" si="30">IF($D$14&lt;&gt;K$14,"N/A",$G389)</f>
        <v>N/A</v>
      </c>
      <c r="L112" s="137" t="s">
        <v>178</v>
      </c>
      <c r="Q112" s="1222"/>
    </row>
    <row r="113" spans="2:17" x14ac:dyDescent="0.4">
      <c r="B113" s="731" t="s">
        <v>478</v>
      </c>
      <c r="C113" s="139" t="s">
        <v>480</v>
      </c>
      <c r="D113" s="659" t="str">
        <f>IF(OR($D$14="Unknown",D14="11.1"),"11.2",$D$14) &amp; ".9.19"</f>
        <v>11.2.9.19</v>
      </c>
      <c r="E113" s="715"/>
      <c r="F113" s="574" t="str">
        <f t="shared" si="27"/>
        <v>N/A</v>
      </c>
      <c r="G113" s="574" t="str">
        <f t="shared" si="27"/>
        <v>N/A</v>
      </c>
      <c r="H113" s="574" t="str">
        <f t="shared" si="27"/>
        <v>N/A</v>
      </c>
      <c r="I113" s="574" t="str">
        <f t="shared" si="28"/>
        <v>N/A</v>
      </c>
      <c r="J113" s="574" t="str">
        <f t="shared" si="29"/>
        <v>N/A</v>
      </c>
      <c r="K113" s="574" t="str">
        <f t="shared" si="30"/>
        <v>N/A</v>
      </c>
      <c r="L113" s="137" t="s">
        <v>178</v>
      </c>
      <c r="Q113" s="1222"/>
    </row>
    <row r="114" spans="2:17" x14ac:dyDescent="0.4">
      <c r="B114" s="731" t="s">
        <v>478</v>
      </c>
      <c r="C114" s="521" t="s">
        <v>481</v>
      </c>
      <c r="D114" s="659" t="str">
        <f>IF(OR($D$14="Unknown",D14="11.1"),"11.2",$D$14) &amp; ".9.19"</f>
        <v>11.2.9.19</v>
      </c>
      <c r="E114" s="715"/>
      <c r="F114" s="574" t="str">
        <f t="shared" si="27"/>
        <v>N/A</v>
      </c>
      <c r="G114" s="574" t="str">
        <f t="shared" si="27"/>
        <v>N/A</v>
      </c>
      <c r="H114" s="574" t="str">
        <f t="shared" si="27"/>
        <v>N/A</v>
      </c>
      <c r="I114" s="574" t="str">
        <f t="shared" si="28"/>
        <v>N/A</v>
      </c>
      <c r="J114" s="574" t="str">
        <f t="shared" si="29"/>
        <v>N/A</v>
      </c>
      <c r="K114" s="574" t="str">
        <f t="shared" si="30"/>
        <v>N/A</v>
      </c>
      <c r="L114" s="137" t="s">
        <v>178</v>
      </c>
      <c r="Q114" s="1222"/>
    </row>
    <row r="115" spans="2:17" x14ac:dyDescent="0.4">
      <c r="B115" s="731" t="s">
        <v>478</v>
      </c>
      <c r="C115" s="521" t="s">
        <v>482</v>
      </c>
      <c r="D115" s="659" t="str">
        <f>IF(OR($D$14="Unknown",D14="11.1"),"11.2",$D$14) &amp; ".9.19"</f>
        <v>11.2.9.19</v>
      </c>
      <c r="E115" s="715"/>
      <c r="F115" s="574" t="str">
        <f t="shared" si="27"/>
        <v>N/A</v>
      </c>
      <c r="G115" s="574" t="str">
        <f t="shared" si="27"/>
        <v>N/A</v>
      </c>
      <c r="H115" s="574" t="str">
        <f t="shared" si="27"/>
        <v>N/A</v>
      </c>
      <c r="I115" s="574" t="str">
        <f t="shared" si="28"/>
        <v>N/A</v>
      </c>
      <c r="J115" s="574" t="str">
        <f t="shared" si="29"/>
        <v>N/A</v>
      </c>
      <c r="K115" s="574" t="str">
        <f t="shared" si="30"/>
        <v>N/A</v>
      </c>
      <c r="L115" s="137" t="s">
        <v>178</v>
      </c>
      <c r="Q115" s="1222"/>
    </row>
    <row r="116" spans="2:17" x14ac:dyDescent="0.4">
      <c r="B116" s="731" t="s">
        <v>484</v>
      </c>
      <c r="C116" s="521" t="s">
        <v>483</v>
      </c>
      <c r="D116" s="659" t="str">
        <f>IF(OR($D$14="Unknown",D14="11.1"),"11.2",$D$14) &amp; ".9.20"</f>
        <v>11.2.9.20</v>
      </c>
      <c r="E116" s="715"/>
      <c r="F116" s="574" t="str">
        <f t="shared" si="27"/>
        <v>N/A</v>
      </c>
      <c r="G116" s="574" t="str">
        <f t="shared" si="27"/>
        <v>N/A</v>
      </c>
      <c r="H116" s="574" t="str">
        <f t="shared" si="27"/>
        <v>N/A</v>
      </c>
      <c r="I116" s="574" t="str">
        <f t="shared" si="28"/>
        <v>N/A</v>
      </c>
      <c r="J116" s="574" t="str">
        <f t="shared" si="29"/>
        <v>N/A</v>
      </c>
      <c r="K116" s="574" t="str">
        <f t="shared" si="30"/>
        <v>N/A</v>
      </c>
      <c r="L116" s="137" t="s">
        <v>178</v>
      </c>
      <c r="Q116" s="1222"/>
    </row>
    <row r="117" spans="2:17" ht="16" thickBot="1" x14ac:dyDescent="0.45">
      <c r="B117" s="733" t="s">
        <v>484</v>
      </c>
      <c r="C117" s="897" t="s">
        <v>485</v>
      </c>
      <c r="D117" s="735" t="str">
        <f>IF(OR($D$14="Unknown",D14="11.1"),"11.2",$D$14) &amp; ".9.20"</f>
        <v>11.2.9.20</v>
      </c>
      <c r="E117" s="884"/>
      <c r="F117" s="889" t="str">
        <f t="shared" si="27"/>
        <v>N/A</v>
      </c>
      <c r="G117" s="889" t="str">
        <f t="shared" si="27"/>
        <v>N/A</v>
      </c>
      <c r="H117" s="889" t="str">
        <f t="shared" si="27"/>
        <v>N/A</v>
      </c>
      <c r="I117" s="889" t="str">
        <f t="shared" si="28"/>
        <v>N/A</v>
      </c>
      <c r="J117" s="889" t="str">
        <f t="shared" si="29"/>
        <v>N/A</v>
      </c>
      <c r="K117" s="889" t="str">
        <f t="shared" si="30"/>
        <v>N/A</v>
      </c>
      <c r="L117" s="739" t="s">
        <v>178</v>
      </c>
      <c r="Q117" s="1222"/>
    </row>
    <row r="118" spans="2:17" ht="16" thickBot="1" x14ac:dyDescent="0.45">
      <c r="B118" s="863"/>
      <c r="C118" s="835"/>
      <c r="D118" s="835"/>
      <c r="E118" s="835"/>
      <c r="F118" s="847"/>
      <c r="G118" s="847"/>
      <c r="H118" s="847"/>
      <c r="I118" s="847"/>
      <c r="J118" s="847"/>
      <c r="K118" s="847"/>
      <c r="L118" s="864"/>
      <c r="Q118" s="1222"/>
    </row>
    <row r="119" spans="2:17" x14ac:dyDescent="0.4">
      <c r="B119" s="880" t="s">
        <v>920</v>
      </c>
      <c r="C119" s="881"/>
      <c r="D119" s="881"/>
      <c r="E119" s="881"/>
      <c r="F119" s="882"/>
      <c r="G119" s="882"/>
      <c r="H119" s="882"/>
      <c r="I119" s="882"/>
      <c r="J119" s="882"/>
      <c r="K119" s="882"/>
      <c r="L119" s="883"/>
      <c r="Q119" s="1222"/>
    </row>
    <row r="120" spans="2:17" ht="16.5" x14ac:dyDescent="0.4">
      <c r="B120" s="867" t="s">
        <v>565</v>
      </c>
      <c r="C120" s="849" t="s">
        <v>672</v>
      </c>
      <c r="D120" s="850" t="str">
        <f>IF(OR($D$14="Unknown",D14="11.1"),"11.2",$D$14) &amp; ".10.1"</f>
        <v>11.2.10.1</v>
      </c>
      <c r="E120" s="851"/>
      <c r="F120" s="514" t="str">
        <f>IF($D$14&lt;&gt;F$14,"N/A",IF(F17&gt;=9,1+(70-F60)*F51/((F37-F34)*100),"N/A"))</f>
        <v>N/A</v>
      </c>
      <c r="G120" s="514" t="str">
        <f>IF($D$14&lt;&gt;G$14,"N/A",IF(G17&gt;=9,(G37-G60)/(G37-G34),IF(G17=3,1,"N/A")))</f>
        <v>N/A</v>
      </c>
      <c r="H120" s="514" t="str">
        <f>IF($D$14&lt;&gt;H$14,"N/A",IF(H17&gt;=9,1+(70-H60)*H51/((H37-H34)*100),"N/A"))</f>
        <v>N/A</v>
      </c>
      <c r="I120" s="514" t="str">
        <f>IF($D$14&lt;&gt;I$14,"N/A",IF(I17&gt;=9,1+(70-I60)*I51/((I37-I34)*100),"N/A"))</f>
        <v>N/A</v>
      </c>
      <c r="J120" s="514" t="str">
        <f>IF($D$14&lt;&gt;J$14,"N/A",IF(J17&gt;=9,(J37-J60)/(J37-J34),IF(J17=3,1,"N/A")))</f>
        <v>N/A</v>
      </c>
      <c r="K120" s="514" t="str">
        <f>IF($D$14&lt;&gt;K$14,"N/A",IF(K17&gt;=9,(K37-K60)/(K37-K34),IF(K17=3,1,"N/A")))</f>
        <v>N/A</v>
      </c>
      <c r="L120" s="866" t="s">
        <v>178</v>
      </c>
      <c r="Q120" s="1222"/>
    </row>
    <row r="121" spans="2:17" ht="31" x14ac:dyDescent="0.4">
      <c r="B121" s="731" t="s">
        <v>486</v>
      </c>
      <c r="C121" s="139" t="s">
        <v>673</v>
      </c>
      <c r="D121" s="659" t="str">
        <f>IF(OR($D$14="Unknown",D14="11.1"),"11.2",$D$14) &amp; ".10.2"</f>
        <v>11.2.10.2</v>
      </c>
      <c r="E121" s="715"/>
      <c r="F121" s="513" t="str">
        <f t="shared" ref="F121:K121" si="31">IF($D$14&lt;&gt;F$14,"N/A",IF(F17&lt;=8,F101*F81,F101*F120*F81))</f>
        <v>N/A</v>
      </c>
      <c r="G121" s="514" t="str">
        <f t="shared" si="31"/>
        <v>N/A</v>
      </c>
      <c r="H121" s="514" t="str">
        <f t="shared" si="31"/>
        <v>N/A</v>
      </c>
      <c r="I121" s="514" t="str">
        <f t="shared" si="31"/>
        <v>N/A</v>
      </c>
      <c r="J121" s="514" t="str">
        <f t="shared" si="31"/>
        <v>N/A</v>
      </c>
      <c r="K121" s="514" t="str">
        <f t="shared" si="31"/>
        <v>N/A</v>
      </c>
      <c r="L121" s="137" t="s">
        <v>51</v>
      </c>
      <c r="Q121" s="1222"/>
    </row>
    <row r="122" spans="2:17" ht="16.5" x14ac:dyDescent="0.4">
      <c r="B122" s="731" t="s">
        <v>487</v>
      </c>
      <c r="C122" s="521" t="s">
        <v>674</v>
      </c>
      <c r="D122" s="659" t="str">
        <f>IF(OR($D$14="Unknown",D14="11.1"),"11.2",$D$14) &amp; ".10.3"</f>
        <v>11.2.10.3</v>
      </c>
      <c r="E122" s="715"/>
      <c r="F122" s="513" t="str">
        <f t="shared" ref="F122:K122" si="32">IF($D$14&lt;&gt;F$14,"N/A",IFERROR(
IF(F17&lt;=4,(F37-F34+530)^1.19*F93*F70/((F37-F34)^0.56),
IF(F17&lt;=8,(F75-F34+530)^1.19*F111*F31*F70/((F75-F34+70-F60)^0.56),
(F37-F34+530)^1.19*F70*F93/((F37-F34+70-F60)^0.56))),""))</f>
        <v>N/A</v>
      </c>
      <c r="G122" s="513" t="str">
        <f t="shared" si="32"/>
        <v>N/A</v>
      </c>
      <c r="H122" s="513" t="str">
        <f t="shared" si="32"/>
        <v>N/A</v>
      </c>
      <c r="I122" s="513" t="str">
        <f>IF($D$14&lt;&gt;I$14,"N/A",IFERROR(
IF(I17&lt;=4,(I37-I34+530)^1.19*I93*I70/((I37-I34)^0.56),
IF(I17&lt;=8,(I75-I34+530)^1.19*I111*I31*I70/((I75-I34+70-I60)^0.56),
(I37-I34+530)^1.19*I70*I93/((I37-I34+70-I60)^0.56))),""))</f>
        <v>N/A</v>
      </c>
      <c r="J122" s="513" t="str">
        <f t="shared" si="32"/>
        <v>N/A</v>
      </c>
      <c r="K122" s="513" t="str">
        <f t="shared" si="32"/>
        <v>N/A</v>
      </c>
      <c r="L122" s="137" t="s">
        <v>178</v>
      </c>
      <c r="Q122" s="1222"/>
    </row>
    <row r="123" spans="2:17" ht="16.5" x14ac:dyDescent="0.4">
      <c r="B123" s="731" t="s">
        <v>488</v>
      </c>
      <c r="C123" s="521" t="s">
        <v>675</v>
      </c>
      <c r="D123" s="659" t="str">
        <f>IF(OR($D$14="Unknown",D14="11.1"),"11.2",$D$14) &amp; ".10.4"</f>
        <v>11.2.10.4</v>
      </c>
      <c r="E123" s="715"/>
      <c r="F123" s="513" t="str">
        <f t="shared" ref="F123:K123" si="33">IF($D$14&lt;&gt;F$14,"N/A",
IF(OR(F17=1,F17=2,F17=4),(F75-F34+530)^1.19*F72*F111/((F75-F34+70-F60)^0.56),
IF(AND(F17&gt;=5,F17&lt;=8),(F75-F34+530)^1.19*F72*F111/((F75-F34+70-F60)^0.56)*F109/F108,
IF(F17=3,(F37-F34+530)^1.19*F72*F111/((F37-F34+70-F60)^0.56),
0))))</f>
        <v>N/A</v>
      </c>
      <c r="G123" s="513" t="str">
        <f t="shared" si="33"/>
        <v>N/A</v>
      </c>
      <c r="H123" s="513" t="str">
        <f t="shared" si="33"/>
        <v>N/A</v>
      </c>
      <c r="I123" s="513" t="str">
        <f t="shared" si="33"/>
        <v>N/A</v>
      </c>
      <c r="J123" s="513" t="str">
        <f t="shared" si="33"/>
        <v>N/A</v>
      </c>
      <c r="K123" s="513" t="str">
        <f t="shared" si="33"/>
        <v>N/A</v>
      </c>
      <c r="L123" s="137" t="s">
        <v>178</v>
      </c>
      <c r="Q123" s="1222"/>
    </row>
    <row r="124" spans="2:17" ht="16.5" x14ac:dyDescent="0.4">
      <c r="B124" s="731" t="s">
        <v>489</v>
      </c>
      <c r="C124" s="521" t="s">
        <v>676</v>
      </c>
      <c r="D124" s="659" t="str">
        <f>IF(OR($D$14="Unknown",D14="11.1"),"11.2",$D$14) &amp; ".10.5"</f>
        <v>11.2.10.5</v>
      </c>
      <c r="E124" s="715"/>
      <c r="F124" s="1221" t="str">
        <f>IF($D$14&lt;&gt;F$14,"N/A",
IF(F17&lt;=8,F43-F70*F121*((1/F98)*(1-EXP(-F98))),
F120*F43-F70*F121*((1/F98)*(1-EXP(-F98)))))</f>
        <v>N/A</v>
      </c>
      <c r="G124" s="514" t="str">
        <f>IF($D$14&lt;&gt;G$14,"N/A",IF(G17&lt;=8,G43-G70*G121*((1/G98)*(1-EXP(-G98))),
G120*G43-G70*G121*((1/G98)*(1-EXP(-G98)))))</f>
        <v>N/A</v>
      </c>
      <c r="H124" s="514" t="str">
        <f t="shared" ref="H124:K124" si="34">IF($D$14&lt;&gt;H$14,"N/A",IF(H17&lt;=8,H43-H70*H121*((1/H98)*(1-EXP(-H98))),
H120*H43-H70*H121*((1/H98)*(1-EXP(-H98)))))</f>
        <v>N/A</v>
      </c>
      <c r="I124" s="514" t="str">
        <f t="shared" si="34"/>
        <v>N/A</v>
      </c>
      <c r="J124" s="514" t="str">
        <f t="shared" si="34"/>
        <v>N/A</v>
      </c>
      <c r="K124" s="514" t="str">
        <f t="shared" si="34"/>
        <v>N/A</v>
      </c>
      <c r="L124" s="137" t="s">
        <v>218</v>
      </c>
      <c r="Q124" s="1222"/>
    </row>
    <row r="125" spans="2:17" x14ac:dyDescent="0.4">
      <c r="B125" s="731" t="s">
        <v>409</v>
      </c>
      <c r="C125" s="139" t="s">
        <v>178</v>
      </c>
      <c r="D125" s="659" t="str">
        <f>IF(OR($D$14="Unknown",D14="11.1"),"11.2",$D$14) &amp; ".10.6"</f>
        <v>11.2.10.6</v>
      </c>
      <c r="E125" s="715"/>
      <c r="F125" s="545" t="str">
        <f>IF($D$14&lt;&gt;F$14,"N/A",'Max Test'!$C$123)</f>
        <v>N/A</v>
      </c>
      <c r="G125" s="545" t="str">
        <f>IF($D$14&lt;&gt;G$14,"N/A",'Max Test'!$C$123)</f>
        <v>N/A</v>
      </c>
      <c r="H125" s="545" t="str">
        <f>IF($D$14&lt;&gt;H$14,"N/A",'Max Test'!$C$123)</f>
        <v>N/A</v>
      </c>
      <c r="I125" s="545" t="str">
        <f>IF($D$14&lt;&gt;I$14,"N/A",'Reduced Test'!$C$123)</f>
        <v>N/A</v>
      </c>
      <c r="J125" s="545" t="str">
        <f>IF($D$14&lt;&gt;J$14,"N/A",'Max Test'!$C$123)</f>
        <v>N/A</v>
      </c>
      <c r="K125" s="545" t="str">
        <f>IF($D$14&lt;&gt;K$14,"N/A",'Reduced Test'!$C$123)</f>
        <v>N/A</v>
      </c>
      <c r="L125" s="137" t="s">
        <v>178</v>
      </c>
      <c r="Q125" s="1222"/>
    </row>
    <row r="126" spans="2:17" ht="31" x14ac:dyDescent="0.4">
      <c r="B126" s="732" t="s">
        <v>705</v>
      </c>
      <c r="C126" s="139" t="s">
        <v>677</v>
      </c>
      <c r="D126" s="659" t="str">
        <f>IF(OR($D$14="Unknown",D14="11.1"),"11.2",$D$14) &amp; ".10.6"</f>
        <v>11.2.10.6</v>
      </c>
      <c r="E126" s="715"/>
      <c r="F126" s="516" t="str">
        <f t="shared" ref="F126:K126" si="35">IF($D$14&lt;&gt;F$14,"N/A",IF(F125="No","N/A",
IF(OR(F17=2,F17=3,F17=4),F103,
IF(F17=10,F103*F104,
"N/A"))))</f>
        <v>N/A</v>
      </c>
      <c r="G126" s="516" t="str">
        <f t="shared" si="35"/>
        <v>N/A</v>
      </c>
      <c r="H126" s="516" t="str">
        <f t="shared" si="35"/>
        <v>N/A</v>
      </c>
      <c r="I126" s="516" t="str">
        <f t="shared" si="35"/>
        <v>N/A</v>
      </c>
      <c r="J126" s="516" t="str">
        <f t="shared" si="35"/>
        <v>N/A</v>
      </c>
      <c r="K126" s="516" t="str">
        <f t="shared" si="35"/>
        <v>N/A</v>
      </c>
      <c r="L126" s="137" t="s">
        <v>178</v>
      </c>
      <c r="Q126" s="1222"/>
    </row>
    <row r="127" spans="2:17" ht="16.5" x14ac:dyDescent="0.4">
      <c r="B127" s="731" t="s">
        <v>542</v>
      </c>
      <c r="C127" s="139" t="s">
        <v>678</v>
      </c>
      <c r="D127" s="659" t="str">
        <f>IF(OR($D$14="Unknown",D14="11.1"),"11.2",$D$14) &amp; ".10.6"</f>
        <v>11.2.10.6</v>
      </c>
      <c r="E127" s="715"/>
      <c r="F127" s="516" t="str">
        <f>IF($D$14&lt;&gt;F$14,"N/A",IF(F125="No","N/A",'Max Test'!$C$126))</f>
        <v>N/A</v>
      </c>
      <c r="G127" s="516" t="str">
        <f>IF($D$14&lt;&gt;G$14,"N/A",IF(G125="No","N/A",'Max Test'!$C$126))</f>
        <v>N/A</v>
      </c>
      <c r="H127" s="516" t="str">
        <f>IF($D$14&lt;&gt;H$14,"N/A",IF(H125="No","N/A",'Max Test'!$C$126))</f>
        <v>N/A</v>
      </c>
      <c r="I127" s="516" t="str">
        <f>IF($D$14&lt;&gt;I$14,"N/A",IF(I125="No","N/A",'Reduced Test'!$C$126))</f>
        <v>N/A</v>
      </c>
      <c r="J127" s="516" t="str">
        <f>IF($D$14&lt;&gt;J$14,"N/A",IF(J125="No","N/A",'Max Test'!$C$126))</f>
        <v>N/A</v>
      </c>
      <c r="K127" s="516" t="str">
        <f>IF($D$14&lt;&gt;K$14,"N/A",IF(K125="No","N/A",'Reduced Test'!$C$126))</f>
        <v>N/A</v>
      </c>
      <c r="L127" s="137" t="s">
        <v>51</v>
      </c>
      <c r="Q127" s="1222"/>
    </row>
    <row r="128" spans="2:17" ht="16.5" x14ac:dyDescent="0.4">
      <c r="B128" s="731" t="s">
        <v>540</v>
      </c>
      <c r="C128" s="139" t="s">
        <v>679</v>
      </c>
      <c r="D128" s="659" t="str">
        <f>IF(OR($D$14="Unknown",D14="11.1"),"11.2",$D$14) &amp; ".10.6"</f>
        <v>11.2.10.6</v>
      </c>
      <c r="E128" s="715"/>
      <c r="F128" s="545" t="str">
        <f t="shared" ref="F128:K128" si="36">IF($D$14&lt;&gt;F$14,"N/A",IF(F125="No","N/A",
100*F69*F155*F85*(F37+460)*(1/(F97*F54*60))*(1+(F34+460)/(F126*(F37-F127))*LN((F34+460+F126*(F127-F34))/(F34+460+F126*(F37-F34))))))</f>
        <v>N/A</v>
      </c>
      <c r="G128" s="545" t="str">
        <f t="shared" si="36"/>
        <v>N/A</v>
      </c>
      <c r="H128" s="545" t="str">
        <f t="shared" si="36"/>
        <v>N/A</v>
      </c>
      <c r="I128" s="545" t="str">
        <f t="shared" si="36"/>
        <v>N/A</v>
      </c>
      <c r="J128" s="545" t="str">
        <f t="shared" si="36"/>
        <v>N/A</v>
      </c>
      <c r="K128" s="545" t="str">
        <f t="shared" si="36"/>
        <v>N/A</v>
      </c>
      <c r="L128" s="137" t="s">
        <v>218</v>
      </c>
      <c r="Q128" s="1222"/>
    </row>
    <row r="129" spans="2:17" ht="16.5" x14ac:dyDescent="0.4">
      <c r="B129" s="731" t="s">
        <v>541</v>
      </c>
      <c r="C129" s="139" t="s">
        <v>680</v>
      </c>
      <c r="D129" s="659" t="str">
        <f>IF(OR($D$14="Unknown",D14="11.1"),"11.2",$D$14) &amp; ".10.6"</f>
        <v>11.2.10.6</v>
      </c>
      <c r="E129" s="715"/>
      <c r="F129" s="516" t="str">
        <f t="shared" ref="F129:K129" si="37">IF($D$14&lt;&gt;F$14,"N/A",IF(F125="No","N/A",
IF(OR(F17=2,F17=3,F17=4),F122*((F99-F85)/F97)*(F112+F106*F113),
IF(F17=10,F122*((F99-F85)/F97)*(F114+F106*F115),"N/A"))))</f>
        <v>N/A</v>
      </c>
      <c r="G129" s="516" t="str">
        <f t="shared" si="37"/>
        <v>N/A</v>
      </c>
      <c r="H129" s="516" t="str">
        <f t="shared" si="37"/>
        <v>N/A</v>
      </c>
      <c r="I129" s="516" t="str">
        <f t="shared" si="37"/>
        <v>N/A</v>
      </c>
      <c r="J129" s="516" t="str">
        <f t="shared" si="37"/>
        <v>N/A</v>
      </c>
      <c r="K129" s="516" t="str">
        <f t="shared" si="37"/>
        <v>N/A</v>
      </c>
      <c r="L129" s="137" t="s">
        <v>218</v>
      </c>
      <c r="Q129" s="1222"/>
    </row>
    <row r="130" spans="2:17" ht="16.5" x14ac:dyDescent="0.4">
      <c r="B130" s="731" t="s">
        <v>490</v>
      </c>
      <c r="C130" s="521" t="s">
        <v>681</v>
      </c>
      <c r="D130" s="659" t="str">
        <f>IF(OR($D$14="Unknown",D14="11.1"),"11.2",$D$14) &amp; ".10.6"</f>
        <v>11.2.10.6</v>
      </c>
      <c r="E130" s="715"/>
      <c r="F130" s="786" t="str">
        <f>IF($D$14&lt;&gt;F$14,"N/A",IFERROR(IF(F125="No",
IF(F17&lt;=4,F122*(F99/F97)*(F112+F106*F113),
IF(F17&lt;=8,F122*(F99/F97)*(F114+F95*F115),
F122*(F99/F97)*(F114+F106*F115))),
F128+F129),""))</f>
        <v>N/A</v>
      </c>
      <c r="G130" s="514" t="str">
        <f>IF($D$14&lt;&gt;G$14,"N/A",IFERROR(IF(G125="No",
IF(G17&lt;=4,G122*(G99/G97)*(G112+G106*G113),
IF(G17&lt;=8,G122*(G99/G97)*(G114+G95*G115),
G122*(G99/G97)*(G114+G106*G115))),
G128+G129),""))</f>
        <v>N/A</v>
      </c>
      <c r="H130" s="514" t="str">
        <f>IF($D$14&lt;&gt;H$14,"N/A",IFERROR(IF(H125="No",
IF(H17&lt;=4,H122*(H99/H97)*(H112+H106*H113),
IF(H17&lt;=8,H122*(H99/H97)*(H114+H95*H115),
H122*(H99/H97)*(H114+H106*H115))),
H128+H129),""))</f>
        <v>N/A</v>
      </c>
      <c r="I130" s="514" t="str">
        <f>IF($D$14&lt;&gt;I$14,"N/A",IFERROR(IF(I125="No",
IF(I17&lt;=4,I122*(I99/I97)*(I112+I106*I113),
IF(I17&lt;=8,I122*(I99/I97)*(I114+I95*I115),
I122*(I99/I97)*(I114+I106*I115))),
I128+I129),0))</f>
        <v>N/A</v>
      </c>
      <c r="J130" s="514" t="str">
        <f>IF($D$14&lt;&gt;J$14,"N/A",IFERROR(IF(J125="No",
IF(J17&lt;=4,J122*(J99/J97)*(J112+J106*J113),
IF(J17&lt;=8,J122*(J99/J97)*(J114+J95*J115),
J122*(J99/J97)*(J114+J106*J115))),
J128+J129),""))</f>
        <v>N/A</v>
      </c>
      <c r="K130" s="514" t="str">
        <f>IF($D$14&lt;&gt;K$14,"N/A",IFERROR(IF(K125="No",
IF(K17&lt;=4,K122*(K99/K97)*(K112+K106*K113),
IF(K17&lt;=8,K122*(K99/K97)*(K114+K95*K115),
K122*(K99/K97)*(K114+K106*K115))),
K128+K129),""))</f>
        <v>N/A</v>
      </c>
      <c r="L130" s="137" t="s">
        <v>218</v>
      </c>
      <c r="Q130" s="1222"/>
    </row>
    <row r="131" spans="2:17" ht="16.5" x14ac:dyDescent="0.4">
      <c r="B131" s="731" t="s">
        <v>491</v>
      </c>
      <c r="C131" s="139" t="s">
        <v>682</v>
      </c>
      <c r="D131" s="659" t="str">
        <f>IF(OR($D$14="Unknown",D14="11.1"),"11.2",$D$14) &amp; ".10.7"</f>
        <v>11.2.10.7</v>
      </c>
      <c r="E131" s="715"/>
      <c r="F131" s="962" t="str">
        <f t="shared" ref="F131:K131" si="38">IF($D$14&lt;&gt;F$14,"N/A",IF(F17&lt;=8,F72*(70-F60),0))</f>
        <v>N/A</v>
      </c>
      <c r="G131" s="749" t="str">
        <f t="shared" si="38"/>
        <v>N/A</v>
      </c>
      <c r="H131" s="749" t="str">
        <f t="shared" si="38"/>
        <v>N/A</v>
      </c>
      <c r="I131" s="749" t="str">
        <f t="shared" si="38"/>
        <v>N/A</v>
      </c>
      <c r="J131" s="749" t="str">
        <f t="shared" si="38"/>
        <v>N/A</v>
      </c>
      <c r="K131" s="749" t="str">
        <f t="shared" si="38"/>
        <v>N/A</v>
      </c>
      <c r="L131" s="137" t="s">
        <v>218</v>
      </c>
      <c r="Q131" s="1222"/>
    </row>
    <row r="132" spans="2:17" ht="16.5" x14ac:dyDescent="0.4">
      <c r="B132" s="731" t="s">
        <v>543</v>
      </c>
      <c r="C132" s="139" t="s">
        <v>683</v>
      </c>
      <c r="D132" s="659" t="str">
        <f>IF(OR($D$14="Unknown",D14="11.1"),"11.2",$D$14) &amp; ".10.8"</f>
        <v>11.2.10.8</v>
      </c>
      <c r="E132" s="715"/>
      <c r="F132" s="527" t="str">
        <f t="shared" ref="F132:K132" si="39">IF($D$14&lt;&gt;F$14,"N/A",IF(F125="No","N/A",
IF(OR(F17=2,F17=3,F17=4),100*F69*F155*F85*(F37+460)*(1/(F97*F54*60))*((70-F60)/(F103*(F37-F127))*LN((F34+460+F103*(F37-F34))/(F34+460+F103*(F127-F34)))),
IF(F17=10,0,
"N/A"))))</f>
        <v>N/A</v>
      </c>
      <c r="G132" s="527" t="str">
        <f t="shared" si="39"/>
        <v>N/A</v>
      </c>
      <c r="H132" s="527" t="str">
        <f t="shared" si="39"/>
        <v>N/A</v>
      </c>
      <c r="I132" s="527" t="str">
        <f t="shared" si="39"/>
        <v>N/A</v>
      </c>
      <c r="J132" s="527" t="str">
        <f t="shared" si="39"/>
        <v>N/A</v>
      </c>
      <c r="K132" s="527" t="str">
        <f t="shared" si="39"/>
        <v>N/A</v>
      </c>
      <c r="L132" s="137" t="s">
        <v>218</v>
      </c>
      <c r="Q132" s="1222"/>
    </row>
    <row r="133" spans="2:17" ht="16.5" x14ac:dyDescent="0.4">
      <c r="B133" s="731" t="s">
        <v>544</v>
      </c>
      <c r="C133" s="139" t="s">
        <v>684</v>
      </c>
      <c r="D133" s="659" t="str">
        <f>IF(OR($D$14="Unknown",D14="11.1"),"11.2",$D$14) &amp; ".10.8"</f>
        <v>11.2.10.8</v>
      </c>
      <c r="E133" s="715"/>
      <c r="F133" s="527" t="str">
        <f t="shared" ref="F133:K133" si="40">IF($D$14&lt;&gt;F$14,"N/A",IF(F125="No","N/A",
IF(F17=10,0,
IF(OR(F17=2,F17=4),F123*(70-F60)*((F99-F85)/F97)*(F116+F95*F117),
F123*(70-F60)*((F99-F85)/F97)*(F116+F106*F117)))))</f>
        <v>N/A</v>
      </c>
      <c r="G133" s="527" t="str">
        <f t="shared" si="40"/>
        <v>N/A</v>
      </c>
      <c r="H133" s="527" t="str">
        <f t="shared" si="40"/>
        <v>N/A</v>
      </c>
      <c r="I133" s="527" t="str">
        <f t="shared" si="40"/>
        <v>N/A</v>
      </c>
      <c r="J133" s="527" t="str">
        <f t="shared" si="40"/>
        <v>N/A</v>
      </c>
      <c r="K133" s="527" t="str">
        <f t="shared" si="40"/>
        <v>N/A</v>
      </c>
      <c r="L133" s="137" t="s">
        <v>218</v>
      </c>
      <c r="Q133" s="1222"/>
    </row>
    <row r="134" spans="2:17" ht="17" thickBot="1" x14ac:dyDescent="0.45">
      <c r="B134" s="733" t="s">
        <v>492</v>
      </c>
      <c r="C134" s="897" t="s">
        <v>685</v>
      </c>
      <c r="D134" s="735" t="str">
        <f>IF(OR($D$14="Unknown",D14="11.1"),"11.2",$D$14) &amp; ".10.8"</f>
        <v>11.2.10.8</v>
      </c>
      <c r="E134" s="884"/>
      <c r="F134" s="899" t="str">
        <f t="shared" ref="F134:K134" si="41">IF($D$14&lt;&gt;F$14,"N/A",IF(F125="No",
IF(F17=3,F123*(70-F60)*(F99/F97)*(F116+F106*F117),
IF(OR(F17=9,F17=10),0,
F123*(70-F60)*(F99/F97)*(F116+F95*F117))),
F132+F133))</f>
        <v>N/A</v>
      </c>
      <c r="G134" s="918" t="str">
        <f t="shared" si="41"/>
        <v>N/A</v>
      </c>
      <c r="H134" s="918" t="str">
        <f t="shared" si="41"/>
        <v>N/A</v>
      </c>
      <c r="I134" s="918" t="str">
        <f t="shared" si="41"/>
        <v>N/A</v>
      </c>
      <c r="J134" s="918" t="str">
        <f t="shared" si="41"/>
        <v>N/A</v>
      </c>
      <c r="K134" s="918" t="str">
        <f t="shared" si="41"/>
        <v>N/A</v>
      </c>
      <c r="L134" s="739" t="s">
        <v>218</v>
      </c>
      <c r="Q134" s="1222"/>
    </row>
    <row r="135" spans="2:17" ht="16" thickBot="1" x14ac:dyDescent="0.45">
      <c r="B135" s="863"/>
      <c r="C135" s="835"/>
      <c r="D135" s="835"/>
      <c r="E135" s="835"/>
      <c r="F135" s="840"/>
      <c r="G135" s="540"/>
      <c r="H135" s="540"/>
      <c r="I135" s="540"/>
      <c r="J135" s="540"/>
      <c r="K135" s="540"/>
      <c r="L135" s="864"/>
      <c r="Q135" s="1222"/>
    </row>
    <row r="136" spans="2:17" x14ac:dyDescent="0.4">
      <c r="B136" s="880" t="s">
        <v>152</v>
      </c>
      <c r="C136" s="881"/>
      <c r="D136" s="881"/>
      <c r="E136" s="881"/>
      <c r="F136" s="882"/>
      <c r="G136" s="882"/>
      <c r="H136" s="882"/>
      <c r="I136" s="882"/>
      <c r="J136" s="882"/>
      <c r="K136" s="882"/>
      <c r="L136" s="883"/>
      <c r="Q136" s="1222"/>
    </row>
    <row r="137" spans="2:17" ht="16.5" x14ac:dyDescent="0.4">
      <c r="B137" s="867" t="s">
        <v>219</v>
      </c>
      <c r="C137" s="849" t="s">
        <v>686</v>
      </c>
      <c r="D137" s="850" t="str">
        <f>IF(OR($D$14="Unknown",D14="11.1"),"11.2",$D$14) &amp; ".11"</f>
        <v>11.2.11</v>
      </c>
      <c r="E137" s="851"/>
      <c r="F137" s="515" t="str">
        <f>IF($D$14&lt;&gt;F$14,"N/A",IF('General Info &amp; Test Results'!$C$47="Indoor",0,
IF('General Info &amp; Test Results'!$C$47="Outdoor",IF('General Info &amp; Test Results'!$C$39="Yes",1,4.7),
IF('General Info &amp; Test Results'!$C$39="Yes",0.5,2.4))))</f>
        <v>N/A</v>
      </c>
      <c r="G137" s="515" t="str">
        <f>IF($D$14&lt;&gt;G$14,"N/A",IF('General Info &amp; Test Results'!$C$47="Indoor",0,
IF('General Info &amp; Test Results'!$C$47="Outdoor",IF('General Info &amp; Test Results'!$C$39="Yes",1,4.7),
IF('General Info &amp; Test Results'!$C$39="Yes",0.5,2.4))))</f>
        <v>N/A</v>
      </c>
      <c r="H137" s="515" t="str">
        <f>IF($D$14&lt;&gt;H$14,"N/A",IF('General Info &amp; Test Results'!$C$47="Indoor",0,
IF('General Info &amp; Test Results'!$C$47="Outdoor",IF('General Info &amp; Test Results'!$C$39="Yes",1,4.7),
IF('General Info &amp; Test Results'!$C$39="Yes",0.5,2.4))))</f>
        <v>N/A</v>
      </c>
      <c r="I137" s="515" t="str">
        <f>IF($D$14&lt;&gt;I$14,"N/A",IF('General Info &amp; Test Results'!$C$47="Indoor",0,
IF('General Info &amp; Test Results'!$C$47="Outdoor",IF('General Info &amp; Test Results'!$C$39="Yes",1,4.7),
IF('General Info &amp; Test Results'!$C$39="Yes",0.5,2.4))))</f>
        <v>N/A</v>
      </c>
      <c r="J137" s="515" t="str">
        <f>IF($D$14&lt;&gt;J$14,"N/A",IF('General Info &amp; Test Results'!$C$47="Indoor",0,
IF('General Info &amp; Test Results'!$C$47="Outdoor",IF('General Info &amp; Test Results'!$C$39="Yes",1,4.7),
IF('General Info &amp; Test Results'!$C$39="Yes",0.5,2.4))))</f>
        <v>N/A</v>
      </c>
      <c r="K137" s="515" t="str">
        <f>IF($D$14&lt;&gt;K$14,"N/A",IF('General Info &amp; Test Results'!$C$47="Indoor",0,
IF('General Info &amp; Test Results'!$C$47="Outdoor",IF('General Info &amp; Test Results'!$C$39="Yes",1,4.7),
IF('General Info &amp; Test Results'!$C$39="Yes",0.5,2.4))))</f>
        <v>N/A</v>
      </c>
      <c r="L137" s="866" t="s">
        <v>178</v>
      </c>
      <c r="Q137" s="1222"/>
    </row>
    <row r="138" spans="2:17" ht="16.5" x14ac:dyDescent="0.4">
      <c r="B138" s="731" t="s">
        <v>493</v>
      </c>
      <c r="C138" s="139" t="s">
        <v>687</v>
      </c>
      <c r="D138" s="659" t="str">
        <f>IF(OR($D$14="Unknown",D14="11.1"),"11.2",$D$14) &amp; ".11"</f>
        <v>11.2.11</v>
      </c>
      <c r="E138" s="715"/>
      <c r="F138" s="527" t="str">
        <f>IF($D$14&lt;&gt;F$14,"N/A",'Max Test'!$C$133)</f>
        <v>N/A</v>
      </c>
      <c r="G138" s="527" t="str">
        <f>IF($D$14&lt;&gt;G$14,"N/A",'Max Test'!$C$133)</f>
        <v>N/A</v>
      </c>
      <c r="H138" s="527" t="str">
        <f>IF($D$14&lt;&gt;H$14,"N/A",'Max Test'!$C$133)</f>
        <v>N/A</v>
      </c>
      <c r="I138" s="527" t="str">
        <f>IF($D$14&lt;&gt;I$14,"N/A",'Reduced Test'!$C$133)</f>
        <v>N/A</v>
      </c>
      <c r="J138" s="527" t="str">
        <f>IF($D$14&lt;&gt;J$14,"N/A",'Max Test'!$C$133)</f>
        <v>N/A</v>
      </c>
      <c r="K138" s="527" t="str">
        <f>IF($D$14&lt;&gt;K$14,"N/A",'Reduced Test'!$C$133)</f>
        <v>N/A</v>
      </c>
      <c r="L138" s="137" t="s">
        <v>37</v>
      </c>
      <c r="Q138" s="1222"/>
    </row>
    <row r="139" spans="2:17" ht="16.5" x14ac:dyDescent="0.4">
      <c r="B139" s="731" t="s">
        <v>417</v>
      </c>
      <c r="C139" s="139" t="s">
        <v>688</v>
      </c>
      <c r="D139" s="713" t="s">
        <v>75</v>
      </c>
      <c r="E139" s="715"/>
      <c r="F139" s="528"/>
      <c r="G139" s="526" t="str">
        <f>IF($D$14&lt;&gt;G$14,"N/A",'Max Test'!C233)</f>
        <v>N/A</v>
      </c>
      <c r="H139" s="706"/>
      <c r="I139" s="587"/>
      <c r="J139" s="140"/>
      <c r="K139" s="716"/>
      <c r="L139" s="137" t="s">
        <v>76</v>
      </c>
      <c r="Q139" s="1222"/>
    </row>
    <row r="140" spans="2:17" ht="31" x14ac:dyDescent="0.4">
      <c r="B140" s="731" t="s">
        <v>500</v>
      </c>
      <c r="C140" s="139" t="s">
        <v>689</v>
      </c>
      <c r="D140" s="713" t="s">
        <v>75</v>
      </c>
      <c r="E140" s="715"/>
      <c r="F140" s="528"/>
      <c r="G140" s="526" t="str">
        <f>IF($D$14&lt;&gt;G$14,"N/A",'Max Test'!C232)</f>
        <v>N/A</v>
      </c>
      <c r="H140" s="706"/>
      <c r="I140" s="587"/>
      <c r="J140" s="140"/>
      <c r="K140" s="716"/>
      <c r="L140" s="137" t="s">
        <v>80</v>
      </c>
      <c r="Q140" s="1222"/>
    </row>
    <row r="141" spans="2:17" ht="16.5" x14ac:dyDescent="0.4">
      <c r="B141" s="731" t="s">
        <v>499</v>
      </c>
      <c r="C141" s="139" t="s">
        <v>690</v>
      </c>
      <c r="D141" s="713" t="s">
        <v>75</v>
      </c>
      <c r="E141" s="715"/>
      <c r="F141" s="528"/>
      <c r="G141" s="526" t="str">
        <f>IF($D$14&lt;&gt;G$14,"N/A",IFERROR(100*1053.3*G139/G140,""))</f>
        <v>N/A</v>
      </c>
      <c r="H141" s="706"/>
      <c r="I141" s="587"/>
      <c r="J141" s="140"/>
      <c r="K141" s="716"/>
      <c r="L141" s="137" t="s">
        <v>218</v>
      </c>
      <c r="Q141" s="1222"/>
    </row>
    <row r="142" spans="2:17" ht="16.5" x14ac:dyDescent="0.4">
      <c r="B142" s="731" t="s">
        <v>501</v>
      </c>
      <c r="C142" s="139" t="s">
        <v>691</v>
      </c>
      <c r="D142" s="713" t="s">
        <v>81</v>
      </c>
      <c r="E142" s="715"/>
      <c r="F142" s="528"/>
      <c r="G142" s="546" t="str">
        <f>IF($D$14&lt;&gt;G$14,"N/A",IFERROR(G141*(1*(G37-70)-0.45*(G37-G60))/1053.3,""))</f>
        <v>N/A</v>
      </c>
      <c r="H142" s="706"/>
      <c r="I142" s="587"/>
      <c r="J142" s="140"/>
      <c r="K142" s="716"/>
      <c r="L142" s="137" t="s">
        <v>218</v>
      </c>
      <c r="Q142" s="1222"/>
    </row>
    <row r="143" spans="2:17" ht="16.5" x14ac:dyDescent="0.4">
      <c r="B143" s="731" t="s">
        <v>545</v>
      </c>
      <c r="C143" s="139" t="s">
        <v>692</v>
      </c>
      <c r="D143" s="713" t="str">
        <f>IF($D$14="11.4","11.4.11.1",
IF($D$14="11.5","DOE 10.2",
"11.(4 or 5).11.1"))</f>
        <v>11.(4 or 5).11.1</v>
      </c>
      <c r="E143" s="720"/>
      <c r="F143" s="528"/>
      <c r="G143" s="540"/>
      <c r="H143" s="587"/>
      <c r="I143" s="514" t="str">
        <f>IF($D$14&lt;&gt;I$14,"N/A",100-I46-I137*I55-(I97/(I97+(I138/I54)*I99))*(I124+I130+I131+I134))</f>
        <v>N/A</v>
      </c>
      <c r="J143" s="140"/>
      <c r="K143" s="514" t="str">
        <f>IF($D$14&lt;&gt;K$14,"N/A",IF('Test Conditions'!$D$67="No",100-K46-K137*K55-(K97/(K97+(K138/K54)*K99))*(K120*K43),
100-K46-K137*K55-(K97/(K97+(K138/K54)*K99))*(K124+K130+K131+K134)))</f>
        <v>N/A</v>
      </c>
      <c r="L143" s="137" t="s">
        <v>218</v>
      </c>
      <c r="Q143" s="1222"/>
    </row>
    <row r="144" spans="2:17" ht="16.5" x14ac:dyDescent="0.4">
      <c r="B144" s="731" t="s">
        <v>546</v>
      </c>
      <c r="C144" s="139" t="s">
        <v>693</v>
      </c>
      <c r="D144" s="713" t="str">
        <f>IF($D$14="11.4","11.4.11.2",
IF($D$14="11.5","DOE 10.3",
"11.(4 or 5).11.2"))</f>
        <v>11.(4 or 5).11.2</v>
      </c>
      <c r="E144" s="720"/>
      <c r="F144" s="528"/>
      <c r="G144" s="540"/>
      <c r="H144" s="514" t="str">
        <f>IF($D$14&lt;&gt;H$14,"N/A",IFERROR(100-H46-H137*H55-(H97/(H97+(H138/H54)*H99))*(H124+H130+H131+H134),""))</f>
        <v>N/A</v>
      </c>
      <c r="I144" s="587"/>
      <c r="J144" s="514" t="str">
        <f>IF($D$14&lt;&gt;J$14,"N/A",IF('Test Conditions'!$D$67="No",100-J46-J137*J55-(J97/(J97+(J138/J54)*J99))*(J120*J43),
100-J46-J137*J55-(J97/(J97+(J138/J54)*J99))*(J124+J130+J131+J134)))</f>
        <v>N/A</v>
      </c>
      <c r="K144" s="716"/>
      <c r="L144" s="137" t="s">
        <v>218</v>
      </c>
      <c r="Q144" s="1222"/>
    </row>
    <row r="145" spans="2:17" ht="17" thickBot="1" x14ac:dyDescent="0.45">
      <c r="B145" s="733" t="s">
        <v>152</v>
      </c>
      <c r="C145" s="734" t="s">
        <v>694</v>
      </c>
      <c r="D145" s="735" t="str">
        <f>IF(D14="11.1","11.1",IF($D$14="Unknown","11.2",$D$14) &amp; ".11")</f>
        <v>11.2.11</v>
      </c>
      <c r="E145" s="919" t="str">
        <f>IF($D$14&lt;&gt;$E$14,"N/A",
IF('General Info &amp; Test Results'!C47="Indoor",100,
IF('General Info &amp; Test Results'!C47="Outdoor",100-4.7*E55,
100-2.4*E55)))</f>
        <v>N/A</v>
      </c>
      <c r="F145" s="920" t="str">
        <f>IF($D$14&lt;&gt;F$14,"N/A",IFERROR(100-F46-F137*F55-(F97/(F97+(F138/F54)*F99))*(F124+F130+F131+F134),""))</f>
        <v>N/A</v>
      </c>
      <c r="G145" s="920" t="str">
        <f>IF($D$14&lt;&gt;G$14,"N/A",IFERROR(100-G46+G141-G142-G137*G55-G97/(G97+(G138/G54)*G99)*(G124+G130+G131+G134),""))</f>
        <v>N/A</v>
      </c>
      <c r="H145" s="921" t="str">
        <f>IF($D$14&lt;&gt;H$14,"N/A",IF('General Info &amp; Test Results'!$C$50="Two-Stage Modulating",H62*H144+I63*I143,
IF('General Info &amp; Test Results'!$C$50="Step Modulating",H62*H74+I63*I143,
"N/A")))</f>
        <v>N/A</v>
      </c>
      <c r="I145" s="639"/>
      <c r="J145" s="921" t="str">
        <f>IF($D$14&lt;&gt;J$14,"N/A",IF('General Info &amp; Test Results'!$C$50="Two-Stage Modulating",J62*J144+K63*K143,
IF('General Info &amp; Test Results'!$C$50="Step Modulating",J62*J74+K63*K143,
"N/A")))</f>
        <v>N/A</v>
      </c>
      <c r="K145" s="888"/>
      <c r="L145" s="739" t="s">
        <v>218</v>
      </c>
      <c r="Q145" s="1222"/>
    </row>
    <row r="146" spans="2:17" ht="16" thickBot="1" x14ac:dyDescent="0.45">
      <c r="B146" s="863"/>
      <c r="C146" s="835"/>
      <c r="D146" s="835"/>
      <c r="E146" s="661"/>
      <c r="F146" s="540"/>
      <c r="G146" s="540"/>
      <c r="H146" s="540"/>
      <c r="I146" s="703"/>
      <c r="J146" s="540"/>
      <c r="K146" s="835"/>
      <c r="L146" s="864"/>
      <c r="Q146" s="1222"/>
    </row>
    <row r="147" spans="2:17" x14ac:dyDescent="0.4">
      <c r="B147" s="880" t="s">
        <v>153</v>
      </c>
      <c r="C147" s="881"/>
      <c r="D147" s="881"/>
      <c r="E147" s="881"/>
      <c r="F147" s="882"/>
      <c r="G147" s="882"/>
      <c r="H147" s="882"/>
      <c r="I147" s="882"/>
      <c r="J147" s="882"/>
      <c r="K147" s="882"/>
      <c r="L147" s="883"/>
      <c r="Q147" s="1222"/>
    </row>
    <row r="148" spans="2:17" x14ac:dyDescent="0.4">
      <c r="B148" s="867" t="s">
        <v>706</v>
      </c>
      <c r="C148" s="849" t="s">
        <v>178</v>
      </c>
      <c r="D148" s="850" t="str">
        <f>IF(D10="11.1","11.1",IF($D$14="Unknown","11.2",$D$14) &amp; ".12")</f>
        <v>11.2.12</v>
      </c>
      <c r="E148" s="858"/>
      <c r="F148" s="859" t="str">
        <f>IF($D$14&lt;&gt;F$14,"N/A",5200)</f>
        <v>N/A</v>
      </c>
      <c r="G148" s="859" t="str">
        <f>IF($D$14&lt;&gt;G$14,"N/A",5200)</f>
        <v>N/A</v>
      </c>
      <c r="H148" s="859" t="str">
        <f>IF($D$14&lt;&gt;H$14,"N/A",5200)</f>
        <v>N/A</v>
      </c>
      <c r="I148" s="860"/>
      <c r="J148" s="859" t="str">
        <f>IF($D$14&lt;&gt;J$14,"N/A",5200)</f>
        <v>N/A</v>
      </c>
      <c r="K148" s="854"/>
      <c r="L148" s="866" t="s">
        <v>707</v>
      </c>
      <c r="Q148" s="1222"/>
    </row>
    <row r="149" spans="2:17" x14ac:dyDescent="0.4">
      <c r="B149" s="731" t="s">
        <v>708</v>
      </c>
      <c r="C149" s="139" t="s">
        <v>178</v>
      </c>
      <c r="D149" s="659" t="str">
        <f>IF(D11="11.1","11.1",IF($D$14="Unknown","11.2",$D$14) &amp; ".12")</f>
        <v>11.2.12</v>
      </c>
      <c r="E149" s="722" t="str">
        <f>IF($D$14&lt;&gt;E$14,"N/A",4600)</f>
        <v>N/A</v>
      </c>
      <c r="F149" s="722" t="str">
        <f t="shared" ref="F149:J149" si="42">IF($D$14&lt;&gt;F$14,"N/A",4600)</f>
        <v>N/A</v>
      </c>
      <c r="G149" s="722" t="str">
        <f t="shared" si="42"/>
        <v>N/A</v>
      </c>
      <c r="H149" s="722" t="str">
        <f t="shared" si="42"/>
        <v>N/A</v>
      </c>
      <c r="I149" s="587"/>
      <c r="J149" s="722" t="str">
        <f t="shared" si="42"/>
        <v>N/A</v>
      </c>
      <c r="K149" s="716"/>
      <c r="L149" s="137" t="s">
        <v>709</v>
      </c>
      <c r="Q149" s="1222"/>
    </row>
    <row r="150" spans="2:17" x14ac:dyDescent="0.4">
      <c r="B150" s="731" t="s">
        <v>710</v>
      </c>
      <c r="C150" s="139" t="s">
        <v>178</v>
      </c>
      <c r="D150" s="659" t="str">
        <f>IF(D12="11.1","11.1",IF($D$14="Unknown","11.2",$D$14) &amp; ".12")</f>
        <v>11.2.12</v>
      </c>
      <c r="E150" s="721"/>
      <c r="F150" s="763" t="str">
        <f>IF($D$14&lt;&gt;F$14,"N/A",2.5)</f>
        <v>N/A</v>
      </c>
      <c r="G150" s="763" t="str">
        <f>IF($D$14&lt;&gt;G$14,"N/A",2.5)</f>
        <v>N/A</v>
      </c>
      <c r="H150" s="763" t="str">
        <f>IF($D$14&lt;&gt;H$14,"N/A",2.5)</f>
        <v>N/A</v>
      </c>
      <c r="I150" s="587"/>
      <c r="J150" s="763" t="str">
        <f>IF($D$14&lt;&gt;J$14,"N/A",2.5)</f>
        <v>N/A</v>
      </c>
      <c r="K150" s="716"/>
      <c r="L150" s="137" t="s">
        <v>51</v>
      </c>
      <c r="Q150" s="1222"/>
    </row>
    <row r="151" spans="2:17" x14ac:dyDescent="0.4">
      <c r="B151" s="731" t="s">
        <v>153</v>
      </c>
      <c r="C151" s="139" t="s">
        <v>32</v>
      </c>
      <c r="D151" s="659" t="str">
        <f>IF(D14="11.1","11.1",IF($D$14="Unknown","11.2",$D$14) &amp; ".12")</f>
        <v>11.2.12</v>
      </c>
      <c r="E151" s="660" t="str">
        <f>IF($D$14&lt;&gt;$E$14,"N/A",E145)</f>
        <v>N/A</v>
      </c>
      <c r="F151" s="514" t="str">
        <f>IF($D$14&lt;&gt;F$14,"N/A",IFERROR(F148*F51*F145/(F148*F51+F150*(1+F59)*F149*F145*(F138/F54)),""))</f>
        <v>N/A</v>
      </c>
      <c r="G151" s="514" t="str">
        <f>IF($D$14&lt;&gt;G$14,"N/A",IFERROR(G148*G51*G145/(G148*G51+G150*(1+G59)*G149*G145*(G138/G54)),""))</f>
        <v>N/A</v>
      </c>
      <c r="H151" s="514" t="str">
        <f>IF($D$14&lt;&gt;H$14,"N/A",IFERROR(H148*H51*H145/(H148*H51+H150*(1+H59)*H149*H145*(H138/H54)),""))</f>
        <v>N/A</v>
      </c>
      <c r="I151" s="587"/>
      <c r="J151" s="514" t="str">
        <f>IF($D$14&lt;&gt;J$14,"N/A",IFERROR(J148*J51*J145/(J148*J51+J150*(1+J59)*J149*J145*(J138/J54)),""))</f>
        <v>N/A</v>
      </c>
      <c r="K151" s="716"/>
      <c r="L151" s="137" t="s">
        <v>218</v>
      </c>
      <c r="Q151" s="1222"/>
    </row>
    <row r="152" spans="2:17" ht="31.5" thickBot="1" x14ac:dyDescent="0.45">
      <c r="B152" s="733" t="s">
        <v>238</v>
      </c>
      <c r="C152" s="734" t="s">
        <v>32</v>
      </c>
      <c r="D152" s="735" t="str">
        <f>IF(D17="11.1","11.1",IF($D$14="Unknown","11.2",$D$14) &amp; ".12")</f>
        <v>11.2.12</v>
      </c>
      <c r="E152" s="922"/>
      <c r="F152" s="923"/>
      <c r="G152" s="923"/>
      <c r="H152" s="923"/>
      <c r="I152" s="639"/>
      <c r="J152" s="923"/>
      <c r="K152" s="888"/>
      <c r="L152" s="739" t="s">
        <v>218</v>
      </c>
      <c r="Q152" s="1222"/>
    </row>
    <row r="153" spans="2:17" ht="16" thickBot="1" x14ac:dyDescent="0.45">
      <c r="B153" s="863"/>
      <c r="C153" s="835"/>
      <c r="D153" s="835"/>
      <c r="E153" s="661"/>
      <c r="F153" s="540"/>
      <c r="G153" s="540"/>
      <c r="H153" s="540"/>
      <c r="I153" s="703"/>
      <c r="J153" s="540"/>
      <c r="K153" s="835"/>
      <c r="L153" s="864"/>
      <c r="Q153" s="1222"/>
    </row>
    <row r="154" spans="2:17" ht="17.5" x14ac:dyDescent="0.4">
      <c r="B154" s="924" t="s">
        <v>921</v>
      </c>
      <c r="C154" s="881"/>
      <c r="D154" s="881"/>
      <c r="E154" s="881"/>
      <c r="F154" s="882"/>
      <c r="G154" s="882"/>
      <c r="H154" s="882"/>
      <c r="I154" s="882"/>
      <c r="J154" s="882"/>
      <c r="K154" s="882"/>
      <c r="L154" s="883"/>
      <c r="Q154" s="1222"/>
    </row>
    <row r="155" spans="2:17" ht="16.5" x14ac:dyDescent="0.4">
      <c r="B155" s="867" t="s">
        <v>523</v>
      </c>
      <c r="C155" s="849" t="s">
        <v>648</v>
      </c>
      <c r="D155" s="857" t="s">
        <v>247</v>
      </c>
      <c r="E155" s="851"/>
      <c r="F155" s="527" t="str">
        <f t="shared" ref="F155:K155" si="43">IF($D$14&lt;&gt;F$14,"N/A",(F23*F42+1)*F54/(F41*60))</f>
        <v>N/A</v>
      </c>
      <c r="G155" s="527" t="str">
        <f t="shared" si="43"/>
        <v>N/A</v>
      </c>
      <c r="H155" s="527" t="str">
        <f t="shared" si="43"/>
        <v>N/A</v>
      </c>
      <c r="I155" s="527" t="str">
        <f t="shared" si="43"/>
        <v>N/A</v>
      </c>
      <c r="J155" s="527" t="str">
        <f t="shared" si="43"/>
        <v>N/A</v>
      </c>
      <c r="K155" s="527" t="str">
        <f t="shared" si="43"/>
        <v>N/A</v>
      </c>
      <c r="L155" s="866" t="s">
        <v>555</v>
      </c>
      <c r="Q155" s="1222"/>
    </row>
    <row r="156" spans="2:17" ht="16.5" x14ac:dyDescent="0.4">
      <c r="B156" s="729" t="s">
        <v>252</v>
      </c>
      <c r="C156" s="519" t="s">
        <v>717</v>
      </c>
      <c r="D156" s="713" t="s">
        <v>248</v>
      </c>
      <c r="E156" s="715"/>
      <c r="F156" s="962" t="str">
        <f>IF($D$14&lt;&gt;F$14,"N/A",IF('Max Test'!$C$167="","",'Max Test'!$C$167))</f>
        <v>N/A</v>
      </c>
      <c r="G156" s="527" t="str">
        <f>IF($D$14&lt;&gt;G$14,"N/A",IF('Max Test'!$C$167="","",'Max Test'!$C$167))</f>
        <v>N/A</v>
      </c>
      <c r="H156" s="527" t="str">
        <f>IF($D$14&lt;&gt;H$14,"N/A",IF('Max Test'!$C$167="","",'Max Test'!$C$167))</f>
        <v>N/A</v>
      </c>
      <c r="I156" s="527" t="str">
        <f>IF($D$14&lt;&gt;I$14,"N/A",IF('Reduced Test'!$C$167="","",'Reduced Test'!$C$167))</f>
        <v>N/A</v>
      </c>
      <c r="J156" s="527" t="str">
        <f>IF($D$14&lt;&gt;J$14,"N/A",IF('Max Test'!$C$167="","",'Max Test'!$C$167))</f>
        <v>N/A</v>
      </c>
      <c r="K156" s="527" t="str">
        <f>IF($D$14&lt;&gt;K$14,"N/A",IF('Reduced Test'!$C$167="","",'Reduced Test'!$C$167))</f>
        <v>N/A</v>
      </c>
      <c r="L156" s="520" t="s">
        <v>255</v>
      </c>
      <c r="Q156" s="1222"/>
    </row>
    <row r="157" spans="2:17" ht="16.5" x14ac:dyDescent="0.4">
      <c r="B157" s="729" t="s">
        <v>251</v>
      </c>
      <c r="C157" s="519" t="s">
        <v>718</v>
      </c>
      <c r="D157" s="713" t="s">
        <v>248</v>
      </c>
      <c r="E157" s="715"/>
      <c r="F157" s="527" t="str">
        <f>IF($D$14&lt;&gt;F$14,"N/A",IF('Max Test'!$C$171="","",'Max Test'!$C$171))</f>
        <v>N/A</v>
      </c>
      <c r="G157" s="527" t="str">
        <f>IF($D$14&lt;&gt;G$14,"N/A",IF('Max Test'!$C$171="","",'Max Test'!$C$171))</f>
        <v>N/A</v>
      </c>
      <c r="H157" s="527" t="str">
        <f>IF($D$14&lt;&gt;H$14,"N/A",IF('Max Test'!$C$171="","",'Max Test'!$C$171))</f>
        <v>N/A</v>
      </c>
      <c r="I157" s="527" t="str">
        <f>IF($D$14&lt;&gt;I$14,"N/A",IF('Reduced Test'!$C$171="","",'Reduced Test'!$C$171))</f>
        <v>N/A</v>
      </c>
      <c r="J157" s="527" t="str">
        <f>IF($D$14&lt;&gt;J$14,"N/A",IF('Max Test'!$C$171="","",'Max Test'!$C$171))</f>
        <v>N/A</v>
      </c>
      <c r="K157" s="527" t="str">
        <f>IF($D$14&lt;&gt;K$14,"N/A",IF('Reduced Test'!$C$171="","",'Reduced Test'!$C$171))</f>
        <v>N/A</v>
      </c>
      <c r="L157" s="520" t="s">
        <v>218</v>
      </c>
      <c r="Q157" s="1222"/>
    </row>
    <row r="158" spans="2:17" ht="16.5" x14ac:dyDescent="0.4">
      <c r="B158" s="729" t="s">
        <v>250</v>
      </c>
      <c r="C158" s="519" t="s">
        <v>723</v>
      </c>
      <c r="D158" s="713" t="s">
        <v>248</v>
      </c>
      <c r="E158" s="715"/>
      <c r="F158" s="527" t="str">
        <f>IF($D$14&lt;&gt;F$14,"N/A",IF('Max Test'!$C$172="","",'Max Test'!$C$172))</f>
        <v>N/A</v>
      </c>
      <c r="G158" s="527" t="str">
        <f>IF($D$14&lt;&gt;G$14,"N/A",IF('Max Test'!$C$172="","",'Max Test'!$C$172))</f>
        <v>N/A</v>
      </c>
      <c r="H158" s="527" t="str">
        <f>IF($D$14&lt;&gt;H$14,"N/A",IF('Max Test'!$C$172="","",'Max Test'!$C$172))</f>
        <v>N/A</v>
      </c>
      <c r="I158" s="527" t="str">
        <f>IF($D$14&lt;&gt;I$14,"N/A",IF('Reduced Test'!$C$172="","",'Reduced Test'!$C$172))</f>
        <v>N/A</v>
      </c>
      <c r="J158" s="527" t="str">
        <f>IF($D$14&lt;&gt;J$14,"N/A",IF('Max Test'!$C$172="","",'Max Test'!$C$172))</f>
        <v>N/A</v>
      </c>
      <c r="K158" s="527" t="str">
        <f>IF($D$14&lt;&gt;K$14,"N/A",IF('Reduced Test'!$C$172="","",'Reduced Test'!$C$172))</f>
        <v>N/A</v>
      </c>
      <c r="L158" s="520" t="s">
        <v>218</v>
      </c>
      <c r="Q158" s="1222"/>
    </row>
    <row r="159" spans="2:17" ht="17.5" x14ac:dyDescent="0.4">
      <c r="B159" s="729" t="s">
        <v>525</v>
      </c>
      <c r="C159" s="949" t="s">
        <v>935</v>
      </c>
      <c r="D159" s="713" t="s">
        <v>248</v>
      </c>
      <c r="E159" s="715"/>
      <c r="F159" s="527" t="str">
        <f>IF($D$14&lt;&gt;F$14,"N/A",IF('Max Test'!$C$175="","",'Max Test'!$C$175))</f>
        <v>N/A</v>
      </c>
      <c r="G159" s="527" t="str">
        <f>IF($D$14&lt;&gt;G$14,"N/A",IF('Max Test'!$C$175="","",'Max Test'!$C$175))</f>
        <v>N/A</v>
      </c>
      <c r="H159" s="527" t="str">
        <f>IF($D$14&lt;&gt;H$14,"N/A",IF('Max Test'!$C$175="","",'Max Test'!$C$175))</f>
        <v>N/A</v>
      </c>
      <c r="I159" s="527" t="str">
        <f>IF($D$14&lt;&gt;I$14,"N/A",IF('Reduced Test'!$C$175="","",'Reduced Test'!$C$175))</f>
        <v>N/A</v>
      </c>
      <c r="J159" s="527" t="str">
        <f>IF($D$14&lt;&gt;J$14,"N/A",IF('Max Test'!$C$175="","",'Max Test'!$C$175))</f>
        <v>N/A</v>
      </c>
      <c r="K159" s="527" t="str">
        <f>IF($D$14&lt;&gt;K$14,"N/A",IF('Reduced Test'!$C$175="","",'Reduced Test'!$C$175))</f>
        <v>N/A</v>
      </c>
      <c r="L159" s="520" t="s">
        <v>936</v>
      </c>
      <c r="Q159" s="1222"/>
    </row>
    <row r="160" spans="2:17" ht="16.5" x14ac:dyDescent="0.4">
      <c r="B160" s="731" t="s">
        <v>524</v>
      </c>
      <c r="C160" s="139" t="s">
        <v>649</v>
      </c>
      <c r="D160" s="713" t="s">
        <v>248</v>
      </c>
      <c r="E160" s="715"/>
      <c r="F160" s="786" t="str">
        <f>IF($D$14&lt;&gt;F$14,"N/A",IFERROR((F158-F157)*F156*F159/F157,""))</f>
        <v>N/A</v>
      </c>
      <c r="G160" s="514" t="str">
        <f t="shared" ref="G160:K160" si="44">IF($D$14&lt;&gt;G$14,"N/A",IFERROR((G158-G157)*G156*G159/G157,""))</f>
        <v>N/A</v>
      </c>
      <c r="H160" s="514" t="str">
        <f>IF($D$14&lt;&gt;H$14,"N/A",IFERROR((H158-H157)*H156*H159/H157,""))</f>
        <v>N/A</v>
      </c>
      <c r="I160" s="514" t="str">
        <f t="shared" si="44"/>
        <v>N/A</v>
      </c>
      <c r="J160" s="514" t="str">
        <f t="shared" si="44"/>
        <v>N/A</v>
      </c>
      <c r="K160" s="514" t="str">
        <f t="shared" si="44"/>
        <v>N/A</v>
      </c>
      <c r="L160" s="137" t="s">
        <v>555</v>
      </c>
      <c r="Q160" s="1222"/>
    </row>
    <row r="161" spans="2:17" x14ac:dyDescent="0.4">
      <c r="B161" s="731" t="s">
        <v>533</v>
      </c>
      <c r="C161" s="139" t="s">
        <v>178</v>
      </c>
      <c r="D161" s="713" t="s">
        <v>249</v>
      </c>
      <c r="E161" s="715"/>
      <c r="F161" s="514" t="str">
        <f>IF($D$14&lt;&gt;F$14,"N/A",IF('Max Test'!$C$163="","",'Max Test'!$C$163))</f>
        <v>N/A</v>
      </c>
      <c r="G161" s="514" t="str">
        <f>IF($D$14&lt;&gt;G$14,"N/A",IF('Max Test'!$C$163="","",'Max Test'!$C$163))</f>
        <v>N/A</v>
      </c>
      <c r="H161" s="514" t="str">
        <f>IF($D$14&lt;&gt;H$14,"N/A",IF('Max Test'!$C$163="","",'Max Test'!$C$163))</f>
        <v>N/A</v>
      </c>
      <c r="I161" s="514" t="str">
        <f>IF($D$14&lt;&gt;I$14,"N/A",IF('Reduced Test'!$C$163="","",'Reduced Test'!$C$163))</f>
        <v>N/A</v>
      </c>
      <c r="J161" s="514" t="str">
        <f>IF($D$14&lt;&gt;J$14,"N/A",IF('Max Test'!$C$163="","",'Max Test'!$C$163))</f>
        <v>N/A</v>
      </c>
      <c r="K161" s="514" t="str">
        <f>IF($D$14&lt;&gt;K$14,"N/A",IF('Reduced Test'!$C$163="","",'Reduced Test'!$C$163))</f>
        <v>N/A</v>
      </c>
      <c r="L161" s="137" t="s">
        <v>178</v>
      </c>
      <c r="Q161" s="1222"/>
    </row>
    <row r="162" spans="2:17" ht="16.5" x14ac:dyDescent="0.4">
      <c r="B162" s="731" t="s">
        <v>532</v>
      </c>
      <c r="C162" s="139" t="s">
        <v>650</v>
      </c>
      <c r="D162" s="713" t="s">
        <v>249</v>
      </c>
      <c r="E162" s="715"/>
      <c r="F162" s="514" t="str">
        <f>IF($D$14&lt;&gt;F$14,"N/A",IF('Max Test'!$C$179="","",'Max Test'!$C$179))</f>
        <v>N/A</v>
      </c>
      <c r="G162" s="514" t="str">
        <f>IF($D$14&lt;&gt;G$14,"N/A",IF('Max Test'!$C$179="","",'Max Test'!$C$179))</f>
        <v>N/A</v>
      </c>
      <c r="H162" s="514" t="str">
        <f>IF($D$14&lt;&gt;H$14,"N/A",IF('Max Test'!$C$179="","",'Max Test'!$C$179))</f>
        <v>N/A</v>
      </c>
      <c r="I162" s="514" t="str">
        <f>IF($D$14&lt;&gt;I$14,"N/A",IF('Reduced Test'!$C$179="","",'Reduced Test'!$C$179))</f>
        <v>N/A</v>
      </c>
      <c r="J162" s="514" t="str">
        <f>IF($D$14&lt;&gt;J$14,"N/A",IF('Max Test'!$C$179="","",'Max Test'!$C$179))</f>
        <v>N/A</v>
      </c>
      <c r="K162" s="514" t="str">
        <f>IF($D$14&lt;&gt;K$14,"N/A",IF('Reduced Test'!$C$179="","",'Reduced Test'!$C$179))</f>
        <v>N/A</v>
      </c>
      <c r="L162" s="137" t="s">
        <v>51</v>
      </c>
      <c r="Q162" s="1222"/>
    </row>
    <row r="163" spans="2:17" ht="16.5" x14ac:dyDescent="0.4">
      <c r="B163" s="731" t="s">
        <v>531</v>
      </c>
      <c r="C163" s="139" t="s">
        <v>651</v>
      </c>
      <c r="D163" s="713" t="s">
        <v>249</v>
      </c>
      <c r="E163" s="715"/>
      <c r="F163" s="513" t="str">
        <f t="shared" ref="F163:K163" si="45">IF($D$14&lt;&gt;F$14,"N/A",
IF(F161="","",
IF(F161="Yes",F160,
F160*((F37-F34)/(F162-F34))^0.56*((F162+460)/(F37+460))^1.19
)))</f>
        <v>N/A</v>
      </c>
      <c r="G163" s="513" t="str">
        <f t="shared" si="45"/>
        <v>N/A</v>
      </c>
      <c r="H163" s="513" t="str">
        <f>IF($D$14&lt;&gt;H$14,"N/A",
IF(H161="","",
IF(H161="Yes",H160,
H160*((H37-H34)/(H162-H34))^0.56*((H162+460)/(H37+460))^1.19
)))</f>
        <v>N/A</v>
      </c>
      <c r="I163" s="513" t="str">
        <f t="shared" si="45"/>
        <v>N/A</v>
      </c>
      <c r="J163" s="513" t="str">
        <f t="shared" si="45"/>
        <v>N/A</v>
      </c>
      <c r="K163" s="513" t="str">
        <f t="shared" si="45"/>
        <v>N/A</v>
      </c>
      <c r="L163" s="137" t="s">
        <v>555</v>
      </c>
      <c r="Q163" s="1222"/>
    </row>
    <row r="164" spans="2:17" ht="17" thickBot="1" x14ac:dyDescent="0.45">
      <c r="B164" s="733" t="s">
        <v>570</v>
      </c>
      <c r="C164" s="734" t="s">
        <v>652</v>
      </c>
      <c r="D164" s="925" t="s">
        <v>569</v>
      </c>
      <c r="E164" s="884"/>
      <c r="F164" s="926" t="str">
        <f>IF($D$14&lt;&gt;F$14,"N/A",IF(F161="","N/A",IF(F163/F155&lt;0.1,0.05,F163/F155)))</f>
        <v>N/A</v>
      </c>
      <c r="G164" s="926" t="str">
        <f>IF($D$14&lt;&gt;G$14,"N/A",IF(G163/G155&lt;0.1,0.05,G163/G155))</f>
        <v>N/A</v>
      </c>
      <c r="H164" s="926" t="str">
        <f>IF($D$14&lt;&gt;H$14,"N/A",IF(H163/H155&lt;0.1,0.05,H163/H155))</f>
        <v>N/A</v>
      </c>
      <c r="I164" s="926" t="str">
        <f>IF($D$14&lt;&gt;I$14,"N/A",IF(I163/I155&lt;0.1,0.05,I163/I155))</f>
        <v>N/A</v>
      </c>
      <c r="J164" s="926" t="str">
        <f>IF($D$14&lt;&gt;J$14,"N/A",IF(J163/J155&lt;0.1,0.05,J163/J155))</f>
        <v>N/A</v>
      </c>
      <c r="K164" s="926" t="str">
        <f>IF($D$14&lt;&gt;K$14,"N/A",IF(K163/K155&lt;0.1,0.05,K163/K155))</f>
        <v>N/A</v>
      </c>
      <c r="L164" s="739" t="s">
        <v>178</v>
      </c>
      <c r="Q164" s="1222"/>
    </row>
    <row r="165" spans="2:17" ht="16" thickBot="1" x14ac:dyDescent="0.45">
      <c r="B165" s="863"/>
      <c r="C165" s="835"/>
      <c r="D165" s="835"/>
      <c r="E165" s="835"/>
      <c r="F165" s="522"/>
      <c r="G165" s="522"/>
      <c r="H165" s="522"/>
      <c r="I165" s="522"/>
      <c r="J165" s="522"/>
      <c r="K165" s="522"/>
      <c r="L165" s="864"/>
      <c r="Q165" s="1222"/>
    </row>
    <row r="166" spans="2:17" x14ac:dyDescent="0.4">
      <c r="B166" s="924" t="s">
        <v>922</v>
      </c>
      <c r="C166" s="881"/>
      <c r="D166" s="881"/>
      <c r="E166" s="881"/>
      <c r="F166" s="882"/>
      <c r="G166" s="882"/>
      <c r="H166" s="882"/>
      <c r="I166" s="882"/>
      <c r="J166" s="882"/>
      <c r="K166" s="882"/>
      <c r="L166" s="883"/>
      <c r="Q166" s="1222"/>
    </row>
    <row r="167" spans="2:17" ht="16.5" x14ac:dyDescent="0.4">
      <c r="B167" s="867" t="s">
        <v>572</v>
      </c>
      <c r="C167" s="856" t="s">
        <v>653</v>
      </c>
      <c r="D167" s="857" t="s">
        <v>571</v>
      </c>
      <c r="E167" s="851"/>
      <c r="F167" s="513" t="str">
        <f>IF($D$14&lt;&gt;F$14,"N/A",
IF(OR(F17=2,F17=3,F17=4,F17=6,F17=8,F17=10,AND(F17=9,'General Info &amp; Test Results'!$C$48&lt;&gt;"No")),F164,"N/A"))</f>
        <v>N/A</v>
      </c>
      <c r="G167" s="513" t="str">
        <f>IF($D$14&lt;&gt;G$14,"N/A",
IF(OR(G17=2,G17=3,G17=4,G17=6,G17=8,G17=10,AND(G17=9,'General Info &amp; Test Results'!$C$48&lt;&gt;"No")),G164,"N/A"))</f>
        <v>N/A</v>
      </c>
      <c r="H167" s="513" t="str">
        <f>IF($D$14&lt;&gt;H$14,"N/A",
IF(OR(H17=2,H17=3,H17=4,H17=6,H17=8,H17=10,AND(H17=9,'General Info &amp; Test Results'!$C$48&lt;&gt;"No")),H164,"N/A"))</f>
        <v>N/A</v>
      </c>
      <c r="I167" s="513" t="str">
        <f>IF($D$14&lt;&gt;I$14,"N/A",
IF(OR(I17=2,I17=3,I17=4,I17=6,I17=8,I17=10,AND(I17=9,'General Info &amp; Test Results'!$C$48&lt;&gt;"No")),I164,"N/A"))</f>
        <v>N/A</v>
      </c>
      <c r="J167" s="513" t="str">
        <f>IF($D$14&lt;&gt;J$14,"N/A",
IF(OR(J17=2,J17=3,J17=4,J17=6,J17=8,J17=10,AND(J17=9,'General Info &amp; Test Results'!$C$48&lt;&gt;"No")),J164,"N/A"))</f>
        <v>N/A</v>
      </c>
      <c r="K167" s="513" t="str">
        <f>IF($D$14&lt;&gt;K$14,"N/A",
IF(OR(K17=2,K17=3,K17=4,K17=6,K17=8,K17=10,AND(K17=9,'General Info &amp; Test Results'!$C$48&lt;&gt;"No")),K164,"N/A"))</f>
        <v>N/A</v>
      </c>
      <c r="L167" s="866" t="s">
        <v>178</v>
      </c>
      <c r="Q167" s="1222"/>
    </row>
    <row r="168" spans="2:17" ht="17" thickBot="1" x14ac:dyDescent="0.45">
      <c r="B168" s="733" t="s">
        <v>574</v>
      </c>
      <c r="C168" s="897" t="s">
        <v>654</v>
      </c>
      <c r="D168" s="927" t="s">
        <v>573</v>
      </c>
      <c r="E168" s="928"/>
      <c r="F168" s="929" t="str">
        <f t="shared" ref="F168:K168" si="46">IF($D$14&lt;&gt;F$14,"N/A",
IF(F17=2,1,
IF(F17=3,F167,
IF(F17=4,(0.79+F164)/1.4,
IF(F17=6,F108,
IF(F17=8,((0.79+F164)/1.4)*F108,"N/A"))))))</f>
        <v>N/A</v>
      </c>
      <c r="G168" s="929" t="str">
        <f t="shared" si="46"/>
        <v>N/A</v>
      </c>
      <c r="H168" s="929" t="str">
        <f t="shared" si="46"/>
        <v>N/A</v>
      </c>
      <c r="I168" s="929" t="str">
        <f t="shared" si="46"/>
        <v>N/A</v>
      </c>
      <c r="J168" s="929" t="str">
        <f t="shared" si="46"/>
        <v>N/A</v>
      </c>
      <c r="K168" s="929" t="str">
        <f t="shared" si="46"/>
        <v>N/A</v>
      </c>
      <c r="L168" s="739" t="s">
        <v>178</v>
      </c>
      <c r="Q168" s="1222"/>
    </row>
    <row r="169" spans="2:17" ht="16" thickBot="1" x14ac:dyDescent="0.45">
      <c r="B169" s="863"/>
      <c r="C169" s="835"/>
      <c r="D169" s="835"/>
      <c r="E169" s="845"/>
      <c r="F169" s="846"/>
      <c r="G169" s="846"/>
      <c r="H169" s="846"/>
      <c r="I169" s="846"/>
      <c r="J169" s="846"/>
      <c r="K169" s="846"/>
      <c r="L169" s="570"/>
      <c r="Q169" s="1222"/>
    </row>
    <row r="170" spans="2:17" ht="36" customHeight="1" x14ac:dyDescent="0.4">
      <c r="B170" s="1535" t="s">
        <v>939</v>
      </c>
      <c r="C170" s="1536"/>
      <c r="D170" s="1536"/>
      <c r="E170" s="1536"/>
      <c r="F170" s="1536"/>
      <c r="G170" s="1536"/>
      <c r="H170" s="1536"/>
      <c r="I170" s="1536"/>
      <c r="J170" s="1536"/>
      <c r="K170" s="1536"/>
      <c r="L170" s="1537"/>
      <c r="Q170" s="1222"/>
    </row>
    <row r="171" spans="2:17" ht="16.5" x14ac:dyDescent="0.4">
      <c r="B171" s="953" t="s">
        <v>938</v>
      </c>
      <c r="C171" s="954" t="s">
        <v>725</v>
      </c>
      <c r="D171" s="956" t="s">
        <v>575</v>
      </c>
      <c r="E171" s="851"/>
      <c r="F171" s="514" t="str">
        <f>IF($D$14&lt;&gt;F$14,"N/A",IF('Max Test'!$C$211="","",'Max Test'!$C$211))</f>
        <v>N/A</v>
      </c>
      <c r="G171" s="514" t="str">
        <f>IF($D$14&lt;&gt;G$14,"N/A",IF('Max Test'!$C$211="","",'Max Test'!$C$211))</f>
        <v>N/A</v>
      </c>
      <c r="H171" s="514" t="str">
        <f>IF($D$14&lt;&gt;H$14,"N/A",IF('Max Test'!$C$211="","",'Max Test'!$C$211))</f>
        <v>N/A</v>
      </c>
      <c r="I171" s="514" t="str">
        <f>IF($D$14&lt;&gt;I$14,"N/A",IF('Reduced Test'!$C$211="","",'Reduced Test'!$C$211))</f>
        <v>N/A</v>
      </c>
      <c r="J171" s="514" t="str">
        <f>IF($D$14&lt;&gt;J$14,"N/A",IF('Max Test'!$C$211="","",'Max Test'!$C$211))</f>
        <v>N/A</v>
      </c>
      <c r="K171" s="514" t="str">
        <f>IF($D$14&lt;&gt;K$14,"N/A",IF('Reduced Test'!$C$211="","",'Reduced Test'!$C$211))</f>
        <v>N/A</v>
      </c>
      <c r="L171" s="958" t="s">
        <v>178</v>
      </c>
      <c r="Q171" s="1222"/>
    </row>
    <row r="172" spans="2:17" ht="16.5" x14ac:dyDescent="0.4">
      <c r="B172" s="832" t="s">
        <v>937</v>
      </c>
      <c r="C172" s="955" t="s">
        <v>725</v>
      </c>
      <c r="D172" s="960" t="s">
        <v>575</v>
      </c>
      <c r="E172" s="961"/>
      <c r="F172" s="514" t="str">
        <f>IF($D$14&lt;&gt;F$14,"N/A",IF('Max Test'!$D$211="","",'Max Test'!$D$211))</f>
        <v>N/A</v>
      </c>
      <c r="G172" s="514" t="str">
        <f>IF($D$14&lt;&gt;G$14,"N/A",IF('Max Test'!$D$211="","",'Max Test'!$D$211))</f>
        <v>N/A</v>
      </c>
      <c r="H172" s="514" t="str">
        <f>IF($D$14&lt;&gt;H$14,"N/A",IF('Max Test'!$D$211="","",'Max Test'!$D$211))</f>
        <v>N/A</v>
      </c>
      <c r="I172" s="514" t="str">
        <f>IF($D$14&lt;&gt;I$14,"N/A",IF('Reduced Test'!$D$211="","",'Reduced Test'!$D$211))</f>
        <v>N/A</v>
      </c>
      <c r="J172" s="514" t="str">
        <f>IF($D$14&lt;&gt;J$14,"N/A",IF('Max Test'!$D$211="","",'Max Test'!$D$211))</f>
        <v>N/A</v>
      </c>
      <c r="K172" s="514" t="str">
        <f>IF($D$14&lt;&gt;K$14,"N/A",IF('Reduced Test'!$D$211="","",'Reduced Test'!$D$211))</f>
        <v>N/A</v>
      </c>
      <c r="L172" s="834" t="s">
        <v>178</v>
      </c>
      <c r="Q172" s="1222"/>
    </row>
    <row r="173" spans="2:17" ht="16.5" x14ac:dyDescent="0.4">
      <c r="B173" s="868" t="s">
        <v>576</v>
      </c>
      <c r="C173" s="861" t="s">
        <v>655</v>
      </c>
      <c r="D173" s="957" t="s">
        <v>575</v>
      </c>
      <c r="E173" s="715"/>
      <c r="F173" s="514" t="str">
        <f>IF($D$14&lt;&gt;F$14,"N/A",
IF(AND('General Info &amp; Test Results'!$C$40="Atmospheric",OR('General Info &amp; Test Results'!$C$43="Integral Draft Diverter",'General Info &amp; Test Results'!$C$43="Draft Hood"),'General Info &amp; Test Results'!$C$46="Yes"),F171/F172,"N/A"))</f>
        <v>N/A</v>
      </c>
      <c r="G173" s="514" t="str">
        <f>IF($D$14&lt;&gt;G$14,"N/A",
IF(AND('General Info &amp; Test Results'!$C$40="Atmospheric",OR('General Info &amp; Test Results'!$C$43="Integral Draft Diverter",'General Info &amp; Test Results'!$C$43="Draft Hood"),'General Info &amp; Test Results'!$C$46="Yes"),G171/G172,"N/A"))</f>
        <v>N/A</v>
      </c>
      <c r="H173" s="514" t="str">
        <f>IF($D$14&lt;&gt;H$14,"N/A",
IF(AND('General Info &amp; Test Results'!$C$40="Atmospheric",OR('General Info &amp; Test Results'!$C$43="Integral Draft Diverter",'General Info &amp; Test Results'!$C$43="Draft Hood"),'General Info &amp; Test Results'!$C$46="Yes"),H171/H172,"N/A"))</f>
        <v>N/A</v>
      </c>
      <c r="I173" s="514" t="str">
        <f>IF($D$14&lt;&gt;I$14,"N/A",
IF(AND('General Info &amp; Test Results'!$C$40="Atmospheric",OR('General Info &amp; Test Results'!$C$43="Integral Draft Diverter",'General Info &amp; Test Results'!$C$43="Draft Hood"),'General Info &amp; Test Results'!$C$46="Yes"),I171/I172,"N/A"))</f>
        <v>N/A</v>
      </c>
      <c r="J173" s="514" t="str">
        <f>IF($D$14&lt;&gt;J$14,"N/A",
IF(AND('General Info &amp; Test Results'!$C$40="Atmospheric",OR('General Info &amp; Test Results'!$C$43="Integral Draft Diverter",'General Info &amp; Test Results'!$C$43="Draft Hood"),'General Info &amp; Test Results'!$C$46="Yes"),J171/J172,"N/A"))</f>
        <v>N/A</v>
      </c>
      <c r="K173" s="514" t="str">
        <f>IF($D$14&lt;&gt;K$14,"N/A",
IF(AND('General Info &amp; Test Results'!$C$40="Atmospheric",OR('General Info &amp; Test Results'!$C$43="Integral Draft Diverter",'General Info &amp; Test Results'!$C$43="Draft Hood"),'General Info &amp; Test Results'!$C$46="Yes"),K171/K172,"N/A"))</f>
        <v>N/A</v>
      </c>
      <c r="L173" s="959" t="s">
        <v>178</v>
      </c>
      <c r="Q173" s="1222"/>
    </row>
    <row r="174" spans="2:17" ht="17" thickBot="1" x14ac:dyDescent="0.45">
      <c r="B174" s="733" t="s">
        <v>570</v>
      </c>
      <c r="C174" s="897" t="s">
        <v>652</v>
      </c>
      <c r="D174" s="927" t="s">
        <v>577</v>
      </c>
      <c r="E174" s="884"/>
      <c r="F174" s="920" t="str">
        <f>IF($D$14&lt;&gt;F$14,"N/A",IF(OR(F17=1,AND(F17=9,'General Info &amp; Test Results'!$C$47="Isolated Combustion System")),F173,"N/A"))</f>
        <v>N/A</v>
      </c>
      <c r="G174" s="920" t="str">
        <f>IF($D$14&lt;&gt;G$14,"N/A",IF(OR(G17=1,AND(G17=9,'General Info &amp; Test Results'!$C$47="Isolated Combustion System")),G173,"N/A"))</f>
        <v>N/A</v>
      </c>
      <c r="H174" s="920" t="str">
        <f>IF($D$14&lt;&gt;H$14,"N/A",IF(OR(H17=1,AND(H17=9,'General Info &amp; Test Results'!$C$47="Isolated Combustion System")),H173,"N/A"))</f>
        <v>N/A</v>
      </c>
      <c r="I174" s="920" t="str">
        <f>IF($D$14&lt;&gt;I$14,"N/A",IF(OR(I17=1,AND(I17=9,'General Info &amp; Test Results'!$C$47="Isolated Combustion System")),I173,"N/A"))</f>
        <v>N/A</v>
      </c>
      <c r="J174" s="920" t="str">
        <f>IF($D$14&lt;&gt;J$14,"N/A",IF(OR(J17=1,AND(J17=9,'General Info &amp; Test Results'!$C$47="Isolated Combustion System")),J173,"N/A"))</f>
        <v>N/A</v>
      </c>
      <c r="K174" s="920" t="str">
        <f>IF($D$14&lt;&gt;K$14,"N/A",IF(OR(K17=1,AND(K17=9,'General Info &amp; Test Results'!$C$47="Isolated Combustion System")),K173,"N/A"))</f>
        <v>N/A</v>
      </c>
      <c r="L174" s="739" t="s">
        <v>178</v>
      </c>
      <c r="Q174" s="1222"/>
    </row>
    <row r="175" spans="2:17" ht="16" thickBot="1" x14ac:dyDescent="0.45">
      <c r="B175" s="863"/>
      <c r="C175" s="835"/>
      <c r="D175" s="835"/>
      <c r="E175" s="661"/>
      <c r="F175" s="540"/>
      <c r="G175" s="540"/>
      <c r="H175" s="540"/>
      <c r="I175" s="703"/>
      <c r="J175" s="540"/>
      <c r="K175" s="835"/>
      <c r="L175" s="864"/>
      <c r="Q175" s="1222"/>
    </row>
    <row r="176" spans="2:17" x14ac:dyDescent="0.4">
      <c r="B176" s="930" t="s">
        <v>798</v>
      </c>
      <c r="C176" s="931"/>
      <c r="D176" s="931"/>
      <c r="E176" s="931"/>
      <c r="F176" s="931"/>
      <c r="G176" s="931"/>
      <c r="H176" s="931"/>
      <c r="I176" s="931"/>
      <c r="J176" s="931"/>
      <c r="K176" s="931"/>
      <c r="L176" s="932"/>
      <c r="Q176" s="1222"/>
    </row>
    <row r="177" spans="2:17" x14ac:dyDescent="0.4">
      <c r="B177" s="729" t="s">
        <v>735</v>
      </c>
      <c r="C177" s="848" t="s">
        <v>96</v>
      </c>
      <c r="D177" s="787" t="s">
        <v>726</v>
      </c>
      <c r="E177" s="723"/>
      <c r="F177" s="660" t="str">
        <f>IF($D$14&lt;&gt;F$14,"N/A",IF('Max Test'!$C$23="","",'Max Test'!$C$23))</f>
        <v>N/A</v>
      </c>
      <c r="G177" s="660" t="str">
        <f>IF($D$14&lt;&gt;G$14,"N/A",IF('Max Test'!$C$23="","",'Max Test'!$C$23))</f>
        <v>N/A</v>
      </c>
      <c r="H177" s="660" t="str">
        <f>IF($D$14&lt;&gt;H$14,"N/A",IF('Max Test'!$C$23="","",'Max Test'!$C$23))</f>
        <v>N/A</v>
      </c>
      <c r="I177" s="660" t="str">
        <f>IF($D$14&lt;&gt;I$14,"N/A",IF('Reduced Test'!$C$23="","",'Reduced Test'!$C$23))</f>
        <v>N/A</v>
      </c>
      <c r="J177" s="660" t="str">
        <f>IF($D$14&lt;&gt;J$14,"N/A",IF('Max Test'!$C$23="","",'Max Test'!$C$23))</f>
        <v>N/A</v>
      </c>
      <c r="K177" s="660" t="str">
        <f>IF($D$14&lt;&gt;K$14,"N/A",IF('Reduced Test'!$C$23="","",'Reduced Test'!$C$23))</f>
        <v>N/A</v>
      </c>
      <c r="L177" s="520" t="s">
        <v>57</v>
      </c>
      <c r="Q177" s="1222"/>
    </row>
    <row r="178" spans="2:17" x14ac:dyDescent="0.4">
      <c r="B178" s="731" t="s">
        <v>736</v>
      </c>
      <c r="C178" s="659" t="s">
        <v>97</v>
      </c>
      <c r="D178" s="788" t="s">
        <v>726</v>
      </c>
      <c r="E178" s="723"/>
      <c r="F178" s="660" t="str">
        <f>IF($D$14&lt;&gt;F$14,"N/A",IF('Max Test'!$C$21="","",'Max Test'!$C$21))</f>
        <v>N/A</v>
      </c>
      <c r="G178" s="660" t="str">
        <f>IF($D$14&lt;&gt;G$14,"N/A",IF('Max Test'!$C$21="","",'Max Test'!$C$21))</f>
        <v>N/A</v>
      </c>
      <c r="H178" s="660" t="str">
        <f>IF($D$14&lt;&gt;H$14,"N/A",IF('Max Test'!$C$21="","",'Max Test'!$C$21))</f>
        <v>N/A</v>
      </c>
      <c r="I178" s="660" t="str">
        <f>IF($D$14&lt;&gt;I$14,"N/A",IF('Reduced Test'!$C$21="","",'Reduced Test'!$C$21))</f>
        <v>N/A</v>
      </c>
      <c r="J178" s="660" t="str">
        <f>IF($D$14&lt;&gt;J$14,"N/A",IF('Max Test'!$C$21="","",'Max Test'!$C$21))</f>
        <v>N/A</v>
      </c>
      <c r="K178" s="660" t="str">
        <f>IF($D$14&lt;&gt;K$14,"N/A",IF('Reduced Test'!$C$21="","",'Reduced Test'!$C$21))</f>
        <v>N/A</v>
      </c>
      <c r="L178" s="137" t="s">
        <v>57</v>
      </c>
      <c r="Q178" s="1222"/>
    </row>
    <row r="179" spans="2:17" ht="16.5" x14ac:dyDescent="0.4">
      <c r="B179" s="731" t="s">
        <v>732</v>
      </c>
      <c r="C179" s="659" t="s">
        <v>737</v>
      </c>
      <c r="D179" s="788" t="s">
        <v>726</v>
      </c>
      <c r="E179" s="723"/>
      <c r="F179" s="507" t="str">
        <f>IF($D$14&lt;&gt;F$14,"N/A",IF(F125="No",1,
IF(F125="Yes",IF('General Info &amp; Test Results'!$C$50="Single Stage",1+F85/9.68,1+F85/15),
"")))</f>
        <v>N/A</v>
      </c>
      <c r="G179" s="507" t="str">
        <f>IF($D$14&lt;&gt;G$14,"N/A",IF(G125="No",1,
IF(G125="Yes",IF('General Info &amp; Test Results'!$C$50="Single Stage",1+G85/9.68,1+G85/15),
"")))</f>
        <v>N/A</v>
      </c>
      <c r="H179" s="507" t="str">
        <f>IF($D$14&lt;&gt;H$14,"N/A",IF(H125="No",1,
IF(H125="Yes",IF('General Info &amp; Test Results'!$C$50="Single Stage",1+H85/9.68,1+H85/15),
"")))</f>
        <v>N/A</v>
      </c>
      <c r="I179" s="703"/>
      <c r="J179" s="507" t="str">
        <f>IF($D$14&lt;&gt;J$14,"N/A",IF(J125="No",1,
IF(J125="Yes",IF('General Info &amp; Test Results'!$C$50="Single Stage",1+J85/9.68,1+J85/15),
"")))</f>
        <v>N/A</v>
      </c>
      <c r="K179" s="724"/>
      <c r="L179" s="137" t="s">
        <v>178</v>
      </c>
      <c r="Q179" s="1222"/>
    </row>
    <row r="180" spans="2:17" ht="16.5" x14ac:dyDescent="0.4">
      <c r="B180" s="731" t="s">
        <v>734</v>
      </c>
      <c r="C180" s="659" t="s">
        <v>711</v>
      </c>
      <c r="D180" s="788" t="s">
        <v>726</v>
      </c>
      <c r="E180" s="723"/>
      <c r="F180" s="507" t="str">
        <f>IF($D$14&lt;&gt;F$14,"N/A",IF('Max Test'!$C$27="","",'Max Test'!$C$27))</f>
        <v>N/A</v>
      </c>
      <c r="G180" s="507" t="str">
        <f>IF($D$14&lt;&gt;G$14,"N/A",IF('Max Test'!$C$27="","",'Max Test'!$C$27))</f>
        <v>N/A</v>
      </c>
      <c r="H180" s="507" t="str">
        <f>IF($D$14&lt;&gt;H$14,"N/A",IF('Max Test'!$C$27="","",'Max Test'!$C$27))</f>
        <v>N/A</v>
      </c>
      <c r="I180" s="703"/>
      <c r="J180" s="507" t="str">
        <f>IF($D$14&lt;&gt;J$14,"N/A",IF('Max Test'!$C$27="","",'Max Test'!$C$27))</f>
        <v>N/A</v>
      </c>
      <c r="K180" s="724"/>
      <c r="L180" s="137" t="s">
        <v>57</v>
      </c>
      <c r="Q180" s="1222"/>
    </row>
    <row r="181" spans="2:17" ht="16.5" x14ac:dyDescent="0.4">
      <c r="B181" s="731" t="s">
        <v>739</v>
      </c>
      <c r="C181" s="659" t="s">
        <v>712</v>
      </c>
      <c r="D181" s="788" t="s">
        <v>726</v>
      </c>
      <c r="E181" s="723"/>
      <c r="F181" s="704" t="str">
        <f>IF($D$14&lt;&gt;F$14,"N/A",IF('Max Test'!$C$28="","",'Max Test'!$C$28))</f>
        <v>N/A</v>
      </c>
      <c r="G181" s="704" t="str">
        <f>IF($D$14&lt;&gt;G$14,"N/A",IF('Max Test'!$C$28="","",'Max Test'!$C$28))</f>
        <v>N/A</v>
      </c>
      <c r="H181" s="704" t="str">
        <f>IF($D$14&lt;&gt;H$14,"N/A",IF('Max Test'!$C$28="","",'Max Test'!$C$28))</f>
        <v>N/A</v>
      </c>
      <c r="I181" s="703"/>
      <c r="J181" s="704" t="str">
        <f>IF($D$14&lt;&gt;J$14,"N/A",IF('Max Test'!$C$28="","",'Max Test'!$C$28))</f>
        <v>N/A</v>
      </c>
      <c r="K181" s="724"/>
      <c r="L181" s="137" t="s">
        <v>36</v>
      </c>
      <c r="Q181" s="1222"/>
    </row>
    <row r="182" spans="2:17" ht="31" x14ac:dyDescent="0.4">
      <c r="B182" s="731" t="s">
        <v>733</v>
      </c>
      <c r="C182" s="659" t="s">
        <v>738</v>
      </c>
      <c r="D182" s="788" t="s">
        <v>726</v>
      </c>
      <c r="E182" s="723"/>
      <c r="F182" s="704" t="str">
        <f>IF($D$14&lt;&gt;F$14,"N/A",IF('General Info &amp; Test Results'!$C$42="Continuously Burning Pilot",0,IF('General Info &amp; Test Results'!$C$50="Single Stage",F181/9.68,F181/15)))</f>
        <v>N/A</v>
      </c>
      <c r="G182" s="704" t="str">
        <f>IF($D$14&lt;&gt;G$14,"N/A",IF('General Info &amp; Test Results'!$C$42="Continuously Burning Pilot",0,IF('General Info &amp; Test Results'!$C$50="Single Stage",G181/9.68,G181/15)))</f>
        <v>N/A</v>
      </c>
      <c r="H182" s="704" t="str">
        <f>IF($D$14&lt;&gt;H$14,"N/A",IF('General Info &amp; Test Results'!$C$42="Continuously Burning Pilot",0,IF('General Info &amp; Test Results'!$C$50="Single Stage",H181/9.68,H181/15)))</f>
        <v>N/A</v>
      </c>
      <c r="I182" s="703"/>
      <c r="J182" s="704" t="str">
        <f>IF($D$14&lt;&gt;J$14,"N/A",IF('General Info &amp; Test Results'!$C$42="Continuously Burning Pilot",0,IF('General Info &amp; Test Results'!$C$50="Single Stage",J181/9.68,J181/15)))</f>
        <v>N/A</v>
      </c>
      <c r="K182" s="724"/>
      <c r="L182" s="137" t="s">
        <v>178</v>
      </c>
      <c r="Q182" s="1222"/>
    </row>
    <row r="183" spans="2:17" x14ac:dyDescent="0.4">
      <c r="B183" s="731" t="s">
        <v>410</v>
      </c>
      <c r="C183" s="659" t="s">
        <v>178</v>
      </c>
      <c r="D183" s="659" t="s">
        <v>726</v>
      </c>
      <c r="E183" s="723"/>
      <c r="F183" s="704" t="str">
        <f>IF($D$14&lt;&gt;F$14,"N/A",IF('Max Test'!$C$120="","",'Max Test'!$C$120))</f>
        <v>N/A</v>
      </c>
      <c r="G183" s="704" t="str">
        <f>IF($D$14&lt;&gt;G$14,"N/A",IF('Max Test'!$C$120="","",'Max Test'!$C$120))</f>
        <v>N/A</v>
      </c>
      <c r="H183" s="704" t="str">
        <f>IF($D$14&lt;&gt;H$14,"N/A",IF('Max Test'!$C$120="","",'Max Test'!$C$120))</f>
        <v>N/A</v>
      </c>
      <c r="I183" s="703"/>
      <c r="J183" s="704" t="str">
        <f>IF($D$14&lt;&gt;J$14,"N/A",IF('Max Test'!$C$120="","",'Max Test'!$C$120))</f>
        <v>N/A</v>
      </c>
      <c r="K183" s="724"/>
      <c r="L183" s="137" t="s">
        <v>178</v>
      </c>
      <c r="Q183" s="1222"/>
    </row>
    <row r="184" spans="2:17" ht="17.5" x14ac:dyDescent="0.4">
      <c r="B184" s="731" t="s">
        <v>796</v>
      </c>
      <c r="C184" s="659" t="s">
        <v>797</v>
      </c>
      <c r="D184" s="659" t="s">
        <v>726</v>
      </c>
      <c r="E184" s="723"/>
      <c r="F184" s="704" t="str">
        <f>IF($D$14&lt;&gt;F$14,"N/A",IF('Max Test'!$C$121="","",'Max Test'!$C$121))</f>
        <v>N/A</v>
      </c>
      <c r="G184" s="704" t="str">
        <f>IF($D$14&lt;&gt;G$14,"N/A",IF('Max Test'!$C$121="","",'Max Test'!$C$121))</f>
        <v>N/A</v>
      </c>
      <c r="H184" s="704" t="str">
        <f>IF($D$14&lt;&gt;H$14,"N/A",IF('Max Test'!$C$121="","",'Max Test'!$C$121))</f>
        <v>N/A</v>
      </c>
      <c r="I184" s="703"/>
      <c r="J184" s="704" t="str">
        <f>IF($D$14&lt;&gt;J$14,"N/A",IF('Max Test'!$C$121="","",'Max Test'!$C$121))</f>
        <v>N/A</v>
      </c>
      <c r="K184" s="724"/>
      <c r="L184" s="137" t="s">
        <v>36</v>
      </c>
      <c r="Q184" s="1222"/>
    </row>
    <row r="185" spans="2:17" x14ac:dyDescent="0.4">
      <c r="B185" s="731" t="s">
        <v>795</v>
      </c>
      <c r="C185" s="659" t="s">
        <v>794</v>
      </c>
      <c r="D185" s="659" t="s">
        <v>726</v>
      </c>
      <c r="E185" s="723"/>
      <c r="F185" s="704" t="str">
        <f>IF($D$14&lt;&gt;F$14,"N/A",IF(F183="No",1,IF('General Info &amp; Test Results'!$C$50="Single Stage",1+F184/9.68,1+F184/1.5)))</f>
        <v>N/A</v>
      </c>
      <c r="G185" s="704" t="str">
        <f>IF($D$14&lt;&gt;G$14,"N/A",IF(G183="No",1,IF('General Info &amp; Test Results'!$C$50="Single Stage",1+G184/9.68,1+G184/1.5)))</f>
        <v>N/A</v>
      </c>
      <c r="H185" s="704" t="str">
        <f>IF($D$14&lt;&gt;H$14,"N/A",IF(H183="No",1,IF('General Info &amp; Test Results'!$C$50="Single Stage",1+H184/9.68,1+H184/1.5)))</f>
        <v>N/A</v>
      </c>
      <c r="I185" s="703"/>
      <c r="J185" s="704" t="str">
        <f>IF($D$14&lt;&gt;J$14,"N/A",IF(J183="No",1,IF('General Info &amp; Test Results'!$C$50="Single Stage",1+J184/9.68,1+J184/1.5)))</f>
        <v>N/A</v>
      </c>
      <c r="K185" s="724"/>
      <c r="L185" s="137" t="s">
        <v>178</v>
      </c>
      <c r="Q185" s="1222"/>
    </row>
    <row r="186" spans="2:17" ht="16.5" x14ac:dyDescent="0.4">
      <c r="B186" s="731" t="s">
        <v>791</v>
      </c>
      <c r="C186" s="659" t="s">
        <v>793</v>
      </c>
      <c r="D186" s="659" t="s">
        <v>726</v>
      </c>
      <c r="E186" s="723"/>
      <c r="F186" s="704" t="str">
        <f>IF($D$14&lt;&gt;F$14,"N/A",IF('Test Conditions'!$C$107="",0,'Test Conditions'!$C$107))</f>
        <v>N/A</v>
      </c>
      <c r="G186" s="704" t="str">
        <f>IF($D$14&lt;&gt;G$14,"N/A",IF('Test Conditions'!$C$107="",0,'Test Conditions'!$C$107))</f>
        <v>N/A</v>
      </c>
      <c r="H186" s="704" t="str">
        <f>IF($D$14&lt;&gt;H$14,"N/A",IF('Test Conditions'!$C$107="",0,'Test Conditions'!$C$107))</f>
        <v>N/A</v>
      </c>
      <c r="I186" s="703"/>
      <c r="J186" s="704" t="str">
        <f>IF($D$14&lt;&gt;J$14,"N/A",IF('Test Conditions'!$C$107="",0,'Test Conditions'!$C$107))</f>
        <v>N/A</v>
      </c>
      <c r="K186" s="724"/>
      <c r="L186" s="137" t="s">
        <v>218</v>
      </c>
      <c r="Q186" s="1222"/>
    </row>
    <row r="187" spans="2:17" x14ac:dyDescent="0.4">
      <c r="B187" s="731"/>
      <c r="C187" s="139" t="s">
        <v>44</v>
      </c>
      <c r="D187" s="659" t="s">
        <v>726</v>
      </c>
      <c r="E187" s="723"/>
      <c r="F187" s="750" t="str">
        <f>IF($D$14&lt;&gt;F$14,"N/A",
IF(AND('General Info &amp; Test Results'!$C$47="Indoor",'General Info &amp; Test Results'!$C$41="Forced Draft"),100000/(341300*(F179*F177+F182*F180+F185*F178)+(F54-F138)*F145),
IF(AND('General Info &amp; Test Results'!$C$47="Isolated Combustion System",'General Info &amp; Test Results'!$C$41="Forced Draft"),100000/(341300*(F179*F177*F186/100+F182*F180+F185*F178)+(F54-F138)*F145),
IF(AND('General Info &amp; Test Results'!$C$47="Indoor",'General Info &amp; Test Results'!$C$41="Induced Draft"),100000/(341300*(F179*F177*(1-F186/100)+F182*F180+F185*F178)+(F54-F138)*F145),
IF(AND('General Info &amp; Test Results'!$C$47="Isolated Combustion System",'General Info &amp; Test Results'!$C$41="Induced Draft"),100000/(341300*(F182*F180+F185*F178)+(F54-F138)*F145),
"Not sure?!")))))</f>
        <v>N/A</v>
      </c>
      <c r="G187" s="750" t="str">
        <f>IF($D$14&lt;&gt;G$14,"N/A",
IF(AND('General Info &amp; Test Results'!$C$47="Indoor",'General Info &amp; Test Results'!$C$41="Forced Draft"),100000/(341300*(G179*G177+G182*G180+G185*G178)+(G54-G138)*G145),
IF(AND('General Info &amp; Test Results'!$C$47="Isolated Combustion System",'General Info &amp; Test Results'!$C$41="Forced Draft"),100000/(341300*(G179*G177*G186/100+G182*G180+G185*G178)+(G54-G138)*G145),
IF(AND('General Info &amp; Test Results'!$C$47="Indoor",'General Info &amp; Test Results'!$C$41="Induced Draft"),100000/(341300*(G179*G177*(1-G186/100)+G182*G180+G185*G178)+(G54-G138)*G145),
IF(AND('General Info &amp; Test Results'!$C$47="Isolated Combustion System",'General Info &amp; Test Results'!$C$41="Induced Draft"),100000/(341300*(G182*G180+G185*G178)+(G54-G138)*G145),
"Not sure?!")))))</f>
        <v>N/A</v>
      </c>
      <c r="H187" s="750" t="str">
        <f>IF($D$14&lt;&gt;H$14,"N/A",
IF(AND('General Info &amp; Test Results'!$C$47="Indoor",'General Info &amp; Test Results'!$C$41="Forced Draft"),100000/(341300*(H179*H177+H182*H180+H185*H178)+(H54-H138)*H145),
IF(AND('General Info &amp; Test Results'!$C$47="Isolated Combustion System",'General Info &amp; Test Results'!$C$41="Forced Draft"),100000/(341300*(H179*H177*H186/100+H182*H180+H185*H178)+(H54-H138)*H145),
IF(AND('General Info &amp; Test Results'!$C$47="Indoor",'General Info &amp; Test Results'!$C$41="Induced Draft"),100000/(341300*(H179*H177*(1-H186/100)+H182*H180+H185*H178)+(H54-H138)*H145),
IF(AND('General Info &amp; Test Results'!$C$47="Isolated Combustion System",'General Info &amp; Test Results'!$C$41="Induced Draft"),100000/(341300*(H182*H180+H185*H178)+(H54-H138)*H145),
"Not sure?!")))))</f>
        <v>N/A</v>
      </c>
      <c r="I187" s="703"/>
      <c r="J187" s="588" t="str">
        <f>IF($D$14&lt;&gt;J$14,"N/A",
IF(AND('General Info &amp; Test Results'!$C$47="Indoor",'General Info &amp; Test Results'!$C$41="Forced Draft"),100000/(341300*(J179*J177+J182*J180+J185*J178)*J191+(J54-J138)*J145),
IF(AND('General Info &amp; Test Results'!$C$47="Isolated Combustion System",'General Info &amp; Test Results'!$C$41="Forced Draft"),100000/(341300*(J179*J177*J186/100+J182*J180+J185*J178)*J191+(J54-J138)*J145),
IF(AND('General Info &amp; Test Results'!$C$47="Indoor",'General Info &amp; Test Results'!$C$41="Induced Draft"),100000/(341300*(J179*J177*(1-J186/100)+J182*J180+J185*J178)*J191+(J54-J138)*J145),
IF(AND('General Info &amp; Test Results'!$C$47="Isolated Combustion System",'General Info &amp; Test Results'!$C$41="Induced Draft"),100000/(341300*(J182*J180+J185*J178)*J191+(J54-J138)*J145),
"Not sure?!")))))</f>
        <v>N/A</v>
      </c>
      <c r="K187" s="724"/>
      <c r="L187" s="137" t="s">
        <v>178</v>
      </c>
      <c r="Q187" s="1222"/>
    </row>
    <row r="188" spans="2:17" x14ac:dyDescent="0.4">
      <c r="B188" s="731"/>
      <c r="C188" s="139" t="s">
        <v>45</v>
      </c>
      <c r="D188" s="659" t="s">
        <v>726</v>
      </c>
      <c r="E188" s="723"/>
      <c r="F188" s="507" t="str">
        <f>IF($D$14&lt;&gt;F$14,"N/A",2*F138*F145*F187/100000)</f>
        <v>N/A</v>
      </c>
      <c r="G188" s="507" t="str">
        <f>IF($D$14&lt;&gt;G$14,"N/A",2*G138*G145*G187/100000)</f>
        <v>N/A</v>
      </c>
      <c r="H188" s="507" t="str">
        <f>IF($D$14&lt;&gt;H$14,"N/A",2*H138*H145*H187/100000)</f>
        <v>N/A</v>
      </c>
      <c r="I188" s="703"/>
      <c r="J188" s="507" t="str">
        <f>IF($D$14&lt;&gt;J$14,"N/A",2*J138*J145*J187/100000)</f>
        <v>N/A</v>
      </c>
      <c r="K188" s="724"/>
      <c r="L188" s="137" t="s">
        <v>178</v>
      </c>
      <c r="Q188" s="1222"/>
    </row>
    <row r="189" spans="2:17" x14ac:dyDescent="0.4">
      <c r="B189" s="731" t="s">
        <v>727</v>
      </c>
      <c r="C189" s="139" t="s">
        <v>178</v>
      </c>
      <c r="D189" s="659" t="s">
        <v>726</v>
      </c>
      <c r="E189" s="507" t="str">
        <f>IF($D$14&lt;&gt;E$14,"N/A",2080)</f>
        <v>N/A</v>
      </c>
      <c r="F189" s="507" t="str">
        <f t="shared" ref="F189:J189" si="47">IF($D$14&lt;&gt;F$14,"N/A",2080)</f>
        <v>N/A</v>
      </c>
      <c r="G189" s="507" t="str">
        <f t="shared" si="47"/>
        <v>N/A</v>
      </c>
      <c r="H189" s="507" t="str">
        <f t="shared" si="47"/>
        <v>N/A</v>
      </c>
      <c r="I189" s="703"/>
      <c r="J189" s="507" t="str">
        <f t="shared" si="47"/>
        <v>N/A</v>
      </c>
      <c r="K189" s="724"/>
      <c r="L189" s="137" t="s">
        <v>728</v>
      </c>
      <c r="Q189" s="1222"/>
    </row>
    <row r="190" spans="2:17" ht="31" x14ac:dyDescent="0.4">
      <c r="B190" s="731" t="s">
        <v>729</v>
      </c>
      <c r="C190" s="139" t="s">
        <v>178</v>
      </c>
      <c r="D190" s="659" t="s">
        <v>726</v>
      </c>
      <c r="E190" s="507" t="str">
        <f>IF($D$14&lt;&gt;E$14,"N/A",0.77)</f>
        <v>N/A</v>
      </c>
      <c r="F190" s="507" t="str">
        <f>IF($D$14&lt;&gt;F$14,"N/A",0.77)</f>
        <v>N/A</v>
      </c>
      <c r="G190" s="507" t="str">
        <f t="shared" ref="G190:J190" si="48">IF($D$14&lt;&gt;G$14,"N/A",0.77)</f>
        <v>N/A</v>
      </c>
      <c r="H190" s="507" t="str">
        <f>IF($D$14&lt;&gt;H$14,"N/A",0.77)</f>
        <v>N/A</v>
      </c>
      <c r="I190" s="703"/>
      <c r="J190" s="507" t="str">
        <f t="shared" si="48"/>
        <v>N/A</v>
      </c>
      <c r="K190" s="724"/>
      <c r="L190" s="137" t="s">
        <v>178</v>
      </c>
      <c r="Q190" s="1222"/>
    </row>
    <row r="191" spans="2:17" x14ac:dyDescent="0.4">
      <c r="B191" s="731"/>
      <c r="C191" s="139" t="s">
        <v>801</v>
      </c>
      <c r="D191" s="659" t="s">
        <v>800</v>
      </c>
      <c r="E191" s="723"/>
      <c r="F191" s="507" t="s">
        <v>741</v>
      </c>
      <c r="G191" s="507" t="s">
        <v>741</v>
      </c>
      <c r="H191" s="507" t="str">
        <f>IF($D$14&lt;&gt;H$14,"N/A",
IF('General Info &amp; Test Results'!$C$50="Two-Stage Modulating",2.3,
IF('General Info &amp; Test Results'!$C$50="Step Modulating",IF(K57/J57&gt;=0.5,2.3,3),
"N/A")))</f>
        <v>N/A</v>
      </c>
      <c r="I191" s="703"/>
      <c r="J191" s="507" t="str">
        <f>IF($D$14&lt;&gt;J$14,"N/A",IF('General Info &amp; Test Results'!$C$50="Two-Stage Modulating",2.3,
IF('General Info &amp; Test Results'!$C$50="Step Modulating",IF(M57/L57&gt;=0.5,2.3,3),
"N/A")))</f>
        <v>N/A</v>
      </c>
      <c r="K191" s="724"/>
      <c r="L191" s="137" t="s">
        <v>178</v>
      </c>
      <c r="Q191" s="1222"/>
    </row>
    <row r="192" spans="2:17" ht="16.5" x14ac:dyDescent="0.4">
      <c r="B192" s="731" t="s">
        <v>798</v>
      </c>
      <c r="C192" s="139" t="s">
        <v>799</v>
      </c>
      <c r="D192" s="659" t="s">
        <v>726</v>
      </c>
      <c r="E192" s="751"/>
      <c r="F192" s="515" t="str">
        <f>IF($D$14&lt;&gt;F$14,"N/A",F189*F190*F187*(F58/1000)-F189*F188)</f>
        <v>N/A</v>
      </c>
      <c r="G192" s="515" t="str">
        <f>IF($D$14&lt;&gt;G$14,"N/A",G189*G190*G187*(G58/1000)-G189*G188)</f>
        <v>N/A</v>
      </c>
      <c r="H192" s="515" t="str">
        <f>IF($D$14&lt;&gt;H$14,"N/A",H189*H190*H187*(H58/1000)-H189*H188)</f>
        <v>N/A</v>
      </c>
      <c r="I192" s="703"/>
      <c r="J192" s="515" t="str">
        <f>IF($D$14&lt;&gt;J$14,"N/A",J189*J190*J187*(J58/1000)-J189*J188)</f>
        <v>N/A</v>
      </c>
      <c r="K192" s="724"/>
      <c r="L192" s="137" t="s">
        <v>728</v>
      </c>
      <c r="Q192" s="1222"/>
    </row>
    <row r="193" spans="2:17" x14ac:dyDescent="0.4">
      <c r="B193" s="731" t="s">
        <v>803</v>
      </c>
      <c r="C193" s="139" t="s">
        <v>178</v>
      </c>
      <c r="D193" s="659" t="s">
        <v>800</v>
      </c>
      <c r="E193" s="721"/>
      <c r="F193" s="507" t="str">
        <f>IF($D$14&lt;&gt;F$14,"N/A",8760)</f>
        <v>N/A</v>
      </c>
      <c r="G193" s="507" t="str">
        <f t="shared" ref="G193:H193" si="49">IF($D$14&lt;&gt;G$14,"N/A",8760)</f>
        <v>N/A</v>
      </c>
      <c r="H193" s="507" t="str">
        <f t="shared" si="49"/>
        <v>N/A</v>
      </c>
      <c r="I193" s="703"/>
      <c r="J193" s="507" t="str">
        <f>IF($D$14&lt;&gt;J$14,"N/A",8760)</f>
        <v>N/A</v>
      </c>
      <c r="K193" s="724"/>
      <c r="L193" s="137" t="s">
        <v>709</v>
      </c>
      <c r="Q193" s="1222"/>
    </row>
    <row r="194" spans="2:17" ht="16.5" x14ac:dyDescent="0.4">
      <c r="B194" s="731" t="s">
        <v>802</v>
      </c>
      <c r="C194" s="139" t="s">
        <v>804</v>
      </c>
      <c r="D194" s="659" t="s">
        <v>800</v>
      </c>
      <c r="E194" s="723"/>
      <c r="F194" s="507" t="s">
        <v>741</v>
      </c>
      <c r="G194" s="507" t="s">
        <v>741</v>
      </c>
      <c r="H194" s="507" t="str">
        <f>IF($D$14&lt;&gt;H$14,"N/A",
IF(OR('General Info &amp; Test Results'!$C$50="Two-Stage Modulating",'General Info &amp; Test Results'!$C$50="Step Modulating"),
(H54-H138)*H192+(H193-4600)*H138,
"N/A"))</f>
        <v>N/A</v>
      </c>
      <c r="I194" s="703"/>
      <c r="J194" s="507" t="str">
        <f>IF($D$14&lt;&gt;J$14,"N/A",
IF(OR('General Info &amp; Test Results'!$C$50="Two-Stage Modulating",'General Info &amp; Test Results'!$C$50="Step Modulating"),
(J54-J138)*J192+(J193-4600)*J138,
"N/A"))</f>
        <v>N/A</v>
      </c>
      <c r="K194" s="724"/>
      <c r="L194" s="137" t="s">
        <v>80</v>
      </c>
      <c r="Q194" s="1222"/>
    </row>
    <row r="195" spans="2:17" ht="31" x14ac:dyDescent="0.4">
      <c r="B195" s="731" t="s">
        <v>809</v>
      </c>
      <c r="C195" s="139" t="s">
        <v>810</v>
      </c>
      <c r="D195" s="659" t="s">
        <v>806</v>
      </c>
      <c r="E195" s="723"/>
      <c r="F195" s="507" t="s">
        <v>741</v>
      </c>
      <c r="G195" s="507" t="s">
        <v>741</v>
      </c>
      <c r="H195" s="507" t="str">
        <f>IF($D$14&lt;&gt;H$14,"N/A",IF('General Info &amp; Test Results'!$C$50="Two-Stage Modulating",H62*H194/H54,
"N/A"))</f>
        <v>N/A</v>
      </c>
      <c r="I195" s="507" t="str">
        <f>IF($D$14&lt;&gt;I$14,"N/A",IF('General Info &amp; Test Results'!$C$50="Two-Stage Modulating",I62*I194/I54,
"N/A"))</f>
        <v>N/A</v>
      </c>
      <c r="J195" s="507" t="str">
        <f>IF($D$14&lt;&gt;J$14,"N/A",IF('General Info &amp; Test Results'!$C$50="Two-Stage Modulating",J62*J194/J54,
"N/A"))</f>
        <v>N/A</v>
      </c>
      <c r="K195" s="507" t="str">
        <f>IF($D$14&lt;&gt;K$14,"N/A",IF('General Info &amp; Test Results'!$C$50="Two-Stage Modulating",K62*K194/K54,
"N/A"))</f>
        <v>N/A</v>
      </c>
      <c r="L195" s="137" t="s">
        <v>728</v>
      </c>
      <c r="Q195" s="1222"/>
    </row>
    <row r="196" spans="2:17" ht="31" x14ac:dyDescent="0.4">
      <c r="B196" s="731" t="s">
        <v>812</v>
      </c>
      <c r="C196" s="139" t="s">
        <v>811</v>
      </c>
      <c r="D196" s="659" t="s">
        <v>808</v>
      </c>
      <c r="E196" s="723"/>
      <c r="F196" s="507" t="s">
        <v>741</v>
      </c>
      <c r="G196" s="507" t="s">
        <v>741</v>
      </c>
      <c r="H196" s="507" t="str">
        <f>IF($D$14&lt;&gt;H$14,"N/A",IF('General Info &amp; Test Results'!$C$50="Step Modulating",H66/(H64/100),
"N/A"))</f>
        <v>N/A</v>
      </c>
      <c r="I196" s="661"/>
      <c r="J196" s="507" t="str">
        <f>IF($D$14&lt;&gt;J$14,"N/A",IF('General Info &amp; Test Results'!$C$50="Step Modulating",J66/(J64/100),
"N/A"))</f>
        <v>N/A</v>
      </c>
      <c r="K196" s="725"/>
      <c r="L196" s="137" t="s">
        <v>37</v>
      </c>
      <c r="Q196" s="1222"/>
    </row>
    <row r="197" spans="2:17" ht="31.5" thickBot="1" x14ac:dyDescent="0.45">
      <c r="B197" s="733" t="s">
        <v>805</v>
      </c>
      <c r="C197" s="734" t="s">
        <v>807</v>
      </c>
      <c r="D197" s="735" t="s">
        <v>808</v>
      </c>
      <c r="E197" s="933"/>
      <c r="F197" s="919" t="s">
        <v>741</v>
      </c>
      <c r="G197" s="919" t="s">
        <v>741</v>
      </c>
      <c r="H197" s="919" t="str">
        <f>IF($D$14&lt;&gt;H$14,"N/A",IF('General Info &amp; Test Results'!$C$50="Step Modulating",H62*H194/H196,
"N/A"))</f>
        <v>N/A</v>
      </c>
      <c r="I197" s="737"/>
      <c r="J197" s="919" t="str">
        <f>IF($D$14&lt;&gt;J$14,"N/A",IF('General Info &amp; Test Results'!$C$50="Step Modulating",J62*J194/J196,
"N/A"))</f>
        <v>N/A</v>
      </c>
      <c r="K197" s="738"/>
      <c r="L197" s="739" t="s">
        <v>728</v>
      </c>
      <c r="Q197" s="1222"/>
    </row>
    <row r="198" spans="2:17" ht="16" thickBot="1" x14ac:dyDescent="0.45">
      <c r="B198" s="863"/>
      <c r="C198" s="835"/>
      <c r="D198" s="835"/>
      <c r="E198" s="703"/>
      <c r="F198" s="661"/>
      <c r="G198" s="661"/>
      <c r="H198" s="661"/>
      <c r="I198" s="708"/>
      <c r="J198" s="661"/>
      <c r="K198" s="708"/>
      <c r="L198" s="864"/>
      <c r="Q198" s="1222"/>
    </row>
    <row r="199" spans="2:17" x14ac:dyDescent="0.4">
      <c r="B199" s="934" t="s">
        <v>924</v>
      </c>
      <c r="C199" s="931"/>
      <c r="D199" s="931"/>
      <c r="E199" s="931"/>
      <c r="F199" s="931"/>
      <c r="G199" s="931"/>
      <c r="H199" s="931"/>
      <c r="I199" s="931"/>
      <c r="J199" s="931"/>
      <c r="K199" s="931"/>
      <c r="L199" s="932"/>
      <c r="Q199" s="1222"/>
    </row>
    <row r="200" spans="2:17" ht="17" thickBot="1" x14ac:dyDescent="0.45">
      <c r="B200" s="935" t="s">
        <v>814</v>
      </c>
      <c r="C200" s="936" t="s">
        <v>815</v>
      </c>
      <c r="D200" s="735" t="str">
        <f>"DOE 10.4.2" &amp; IF(OR('General Info &amp; Test Results'!$C$50="Step Modulating",'General Info &amp; Test Results'!$C$50="Two-Stage Modulating"),".1","")</f>
        <v>DOE 10.4.2</v>
      </c>
      <c r="E200" s="933"/>
      <c r="F200" s="937" t="str">
        <f>IF($D$14&lt;&gt;F$14,"N/A",F192*(F54-F138)+F193*F138)</f>
        <v>N/A</v>
      </c>
      <c r="G200" s="937" t="str">
        <f>IF($D$14&lt;&gt;G$14,"N/A",G192*(G54-G138)+G193*G138)</f>
        <v>N/A</v>
      </c>
      <c r="H200" s="937" t="str">
        <f>IF($D$14&lt;&gt;H$14,"N/A",H194+H149*H138)</f>
        <v>N/A</v>
      </c>
      <c r="I200" s="737"/>
      <c r="J200" s="937" t="str">
        <f>IF($D$14&lt;&gt;J$14,"N/A",J194+J149*J138)</f>
        <v>N/A</v>
      </c>
      <c r="K200" s="738"/>
      <c r="L200" s="938" t="s">
        <v>850</v>
      </c>
      <c r="Q200" s="1222"/>
    </row>
    <row r="201" spans="2:17" ht="16" thickBot="1" x14ac:dyDescent="0.45">
      <c r="B201" s="863"/>
      <c r="C201" s="835"/>
      <c r="D201" s="835"/>
      <c r="E201" s="703"/>
      <c r="F201" s="707"/>
      <c r="G201" s="707"/>
      <c r="H201" s="707"/>
      <c r="I201" s="708"/>
      <c r="J201" s="707"/>
      <c r="K201" s="708"/>
      <c r="L201" s="864"/>
      <c r="Q201" s="1222"/>
    </row>
    <row r="202" spans="2:17" ht="31" x14ac:dyDescent="0.4">
      <c r="B202" s="930" t="s">
        <v>925</v>
      </c>
      <c r="C202" s="931"/>
      <c r="D202" s="931"/>
      <c r="E202" s="931"/>
      <c r="F202" s="931"/>
      <c r="G202" s="931"/>
      <c r="H202" s="931"/>
      <c r="I202" s="931"/>
      <c r="J202" s="931"/>
      <c r="K202" s="931"/>
      <c r="L202" s="932"/>
      <c r="Q202" s="1222"/>
    </row>
    <row r="203" spans="2:17" ht="17" thickBot="1" x14ac:dyDescent="0.45">
      <c r="B203" s="935" t="s">
        <v>816</v>
      </c>
      <c r="C203" s="936" t="s">
        <v>817</v>
      </c>
      <c r="D203" s="735" t="str">
        <f>"DOE 10.4.3" &amp; IF(OR('General Info &amp; Test Results'!$C$50="Step Modulating",'General Info &amp; Test Results'!$C$50="Two-Stage Modulating"),".1","")</f>
        <v>DOE 10.4.3</v>
      </c>
      <c r="E203" s="933"/>
      <c r="F203" s="939" t="str">
        <f>IF($D$14&lt;&gt;F$14,"N/A",F192*(F179*F177+F182*F180+F185*F178)+F234)</f>
        <v>N/A</v>
      </c>
      <c r="G203" s="937" t="str">
        <f>IF($D$14&lt;&gt;G$14,"N/A",G192*(G179*G177+G182*G180+G185*G178)+G234)</f>
        <v>N/A</v>
      </c>
      <c r="H203" s="937" t="str">
        <f>IF($D$14&lt;&gt;H$14,"N/A",
IF('General Info &amp; Test Results'!$C$50="Two-Stage Modulating",I195*(H179*I177+H182*H180+H185*I178)+H195*(H179*H177+H182*H180+H185*H178)+H234,
IF('General Info &amp; Test Results'!$C$50="Step Modulating",I195*(H179*I177+H182*H180+H185*I178)+H197*(H179*H177+H182*H180+H185*H178)+H234,
"N/A")))</f>
        <v>N/A</v>
      </c>
      <c r="I203" s="940"/>
      <c r="J203" s="937" t="str">
        <f>IF($D$14&lt;&gt;J$14,"N/A",
IF('General Info &amp; Test Results'!$C$50="Two-Stage Modulating",K195*(J179*K177+J182*J180+J185*K178)+J195*(J179*J177+J182*J180+J185*J178)+J234,
IF('General Info &amp; Test Results'!$C$50="Step Modulating",K195*(J179*K177+J182*J180+J185*K178)+J197*(J179*J177+J182*J180+J185*J178)+J234,
"N/A")))</f>
        <v>N/A</v>
      </c>
      <c r="K203" s="738"/>
      <c r="L203" s="938" t="s">
        <v>851</v>
      </c>
      <c r="Q203" s="1222"/>
    </row>
    <row r="204" spans="2:17" ht="16" thickBot="1" x14ac:dyDescent="0.45">
      <c r="B204" s="863"/>
      <c r="C204" s="835"/>
      <c r="D204" s="835"/>
      <c r="E204" s="703"/>
      <c r="F204" s="709"/>
      <c r="G204" s="707"/>
      <c r="H204" s="707"/>
      <c r="I204" s="708"/>
      <c r="J204" s="707"/>
      <c r="K204" s="708"/>
      <c r="L204" s="864"/>
      <c r="Q204" s="1222"/>
    </row>
    <row r="205" spans="2:17" x14ac:dyDescent="0.4">
      <c r="B205" s="930" t="s">
        <v>926</v>
      </c>
      <c r="C205" s="931"/>
      <c r="D205" s="931"/>
      <c r="E205" s="931"/>
      <c r="F205" s="931"/>
      <c r="G205" s="931"/>
      <c r="H205" s="931"/>
      <c r="I205" s="931"/>
      <c r="J205" s="931"/>
      <c r="K205" s="931"/>
      <c r="L205" s="932"/>
      <c r="Q205" s="1222"/>
    </row>
    <row r="206" spans="2:17" ht="17" thickBot="1" x14ac:dyDescent="0.45">
      <c r="B206" s="935" t="s">
        <v>819</v>
      </c>
      <c r="C206" s="936" t="s">
        <v>818</v>
      </c>
      <c r="D206" s="735" t="s">
        <v>820</v>
      </c>
      <c r="E206" s="941" t="str">
        <f>IF($D$14&lt;&gt;$E$14,"N/A",100*E189*E190*E58/(3.412*E151)+E234)</f>
        <v>N/A</v>
      </c>
      <c r="F206" s="942"/>
      <c r="G206" s="943"/>
      <c r="H206" s="943"/>
      <c r="I206" s="940"/>
      <c r="J206" s="943"/>
      <c r="K206" s="738"/>
      <c r="L206" s="938" t="s">
        <v>851</v>
      </c>
      <c r="Q206" s="1222"/>
    </row>
    <row r="207" spans="2:17" ht="16" thickBot="1" x14ac:dyDescent="0.45">
      <c r="B207" s="863"/>
      <c r="C207" s="835"/>
      <c r="D207" s="835"/>
      <c r="E207" s="661"/>
      <c r="F207" s="752"/>
      <c r="G207" s="707"/>
      <c r="H207" s="707"/>
      <c r="I207" s="708"/>
      <c r="J207" s="707"/>
      <c r="K207" s="708"/>
      <c r="L207" s="864"/>
      <c r="Q207" s="1222"/>
    </row>
    <row r="208" spans="2:17" x14ac:dyDescent="0.4">
      <c r="B208" s="930" t="s">
        <v>821</v>
      </c>
      <c r="C208" s="931"/>
      <c r="D208" s="931"/>
      <c r="E208" s="931"/>
      <c r="F208" s="931"/>
      <c r="G208" s="931"/>
      <c r="H208" s="931"/>
      <c r="I208" s="931"/>
      <c r="J208" s="931"/>
      <c r="K208" s="931"/>
      <c r="L208" s="932"/>
      <c r="Q208" s="1222"/>
    </row>
    <row r="209" spans="2:17" ht="16" thickBot="1" x14ac:dyDescent="0.45">
      <c r="B209" s="935" t="s">
        <v>821</v>
      </c>
      <c r="C209" s="936" t="s">
        <v>813</v>
      </c>
      <c r="D209" s="735" t="str">
        <f>"DOE 10.6" &amp; IF('General Info &amp; Test Results'!C36="Electricity",".2",".1")</f>
        <v>DOE 10.6.1</v>
      </c>
      <c r="E209" s="939" t="str">
        <f>IF($D$14&lt;&gt;$E$14,"N/A",E151)</f>
        <v>N/A</v>
      </c>
      <c r="F209" s="939" t="str">
        <f>IF($D$14&lt;&gt;F$14,"N/A",(F200-F149*F138)*F145/(F200+3412*F203))</f>
        <v>N/A</v>
      </c>
      <c r="G209" s="939" t="str">
        <f>IF($D$14&lt;&gt;G$14,"N/A",(G200-G149*G138)*G145/(G200+3412*G203))</f>
        <v>N/A</v>
      </c>
      <c r="H209" s="939" t="str">
        <f>IF($D$14&lt;&gt;H$14,"N/A",(H200-H149*H138)*H145/(H200+3412*H203))</f>
        <v>N/A</v>
      </c>
      <c r="I209" s="737"/>
      <c r="J209" s="939" t="str">
        <f>IF($D$14&lt;&gt;J$14,"N/A",(J200-J149*J138)*J145/(J200+3412*J203))</f>
        <v>N/A</v>
      </c>
      <c r="K209" s="738"/>
      <c r="L209" s="938" t="s">
        <v>218</v>
      </c>
      <c r="Q209" s="1222"/>
    </row>
    <row r="210" spans="2:17" ht="16" thickBot="1" x14ac:dyDescent="0.45">
      <c r="B210" s="863"/>
      <c r="C210" s="835"/>
      <c r="D210" s="835"/>
      <c r="E210" s="709"/>
      <c r="F210" s="709"/>
      <c r="G210" s="709"/>
      <c r="H210" s="709"/>
      <c r="I210" s="708"/>
      <c r="J210" s="709"/>
      <c r="K210" s="708"/>
      <c r="L210" s="864"/>
      <c r="Q210" s="1222"/>
    </row>
    <row r="211" spans="2:17" x14ac:dyDescent="0.4">
      <c r="B211" s="934" t="s">
        <v>927</v>
      </c>
      <c r="C211" s="931"/>
      <c r="D211" s="931"/>
      <c r="E211" s="931"/>
      <c r="F211" s="931"/>
      <c r="G211" s="931"/>
      <c r="H211" s="931"/>
      <c r="I211" s="931"/>
      <c r="J211" s="931"/>
      <c r="K211" s="931"/>
      <c r="L211" s="932"/>
      <c r="Q211" s="1222"/>
    </row>
    <row r="212" spans="2:17" ht="31" x14ac:dyDescent="0.4">
      <c r="B212" s="729" t="s">
        <v>827</v>
      </c>
      <c r="C212" s="519" t="s">
        <v>829</v>
      </c>
      <c r="D212" s="659" t="s">
        <v>830</v>
      </c>
      <c r="E212" s="963"/>
      <c r="F212" s="963"/>
      <c r="G212" s="963"/>
      <c r="H212" s="963"/>
      <c r="I212" s="706"/>
      <c r="J212" s="963"/>
      <c r="K212" s="726"/>
      <c r="L212" s="869" t="s">
        <v>868</v>
      </c>
      <c r="Q212" s="1222"/>
    </row>
    <row r="213" spans="2:17" ht="31" x14ac:dyDescent="0.4">
      <c r="B213" s="731" t="s">
        <v>826</v>
      </c>
      <c r="C213" s="139" t="s">
        <v>822</v>
      </c>
      <c r="D213" s="659" t="s">
        <v>830</v>
      </c>
      <c r="E213" s="727"/>
      <c r="F213" s="964" t="str">
        <f>IF($D$14&lt;&gt;F$14,"N/A",(F200-8760*F138)*(F212/F189)+F193*F138)</f>
        <v>N/A</v>
      </c>
      <c r="G213" s="964" t="str">
        <f>IF($D$14&lt;&gt;G$14,"N/A",(G200-8760*G138)*(G212/G189)+G193*G138)</f>
        <v>N/A</v>
      </c>
      <c r="H213" s="964" t="str">
        <f>IF($D$14&lt;&gt;H$14,"N/A",(H200-8760*H138)*(H212/H189)+H193*H138)</f>
        <v>N/A</v>
      </c>
      <c r="I213" s="706"/>
      <c r="J213" s="705" t="str">
        <f>IF($D$14&lt;&gt;J$14,"N/A",(J200-8760*J138)*(J212/J189)+J193*J138)</f>
        <v>N/A</v>
      </c>
      <c r="K213" s="726"/>
      <c r="L213" s="137" t="s">
        <v>850</v>
      </c>
      <c r="Q213" s="1222"/>
    </row>
    <row r="214" spans="2:17" ht="31" x14ac:dyDescent="0.4">
      <c r="B214" s="731" t="s">
        <v>852</v>
      </c>
      <c r="C214" s="139" t="s">
        <v>849</v>
      </c>
      <c r="D214" s="659" t="s">
        <v>840</v>
      </c>
      <c r="E214" s="705" t="str">
        <f>IF($D$14&lt;&gt;$E$14,"N/A",(E228*(E232-E231*E212/E189)+E149*E229)*E233)</f>
        <v>N/A</v>
      </c>
      <c r="F214" s="705" t="str">
        <f>IF($D$14&lt;&gt;F$14,"N/A",(F228*(F232-F231*F212/F189)+F149*F229)*F233)</f>
        <v>N/A</v>
      </c>
      <c r="G214" s="705" t="str">
        <f>IF($D$14&lt;&gt;G$14,"N/A",(G228*(G232-G231*G212/G189)+G149*G229)*G233)</f>
        <v>N/A</v>
      </c>
      <c r="H214" s="705" t="str">
        <f>IF($D$14&lt;&gt;H$14,"N/A",(H228*(H232-H231*H212/H189)+H149*H229)*H233)</f>
        <v>N/A</v>
      </c>
      <c r="I214" s="706"/>
      <c r="J214" s="705" t="str">
        <f>IF($D$14&lt;&gt;J$14,"N/A",(J228*(J232-J231*J212/J189)+J149*J229)*J233)</f>
        <v>N/A</v>
      </c>
      <c r="K214" s="726"/>
      <c r="L214" s="137" t="s">
        <v>851</v>
      </c>
      <c r="Q214" s="1222"/>
    </row>
    <row r="215" spans="2:17" ht="46.5" x14ac:dyDescent="0.4">
      <c r="B215" s="731" t="s">
        <v>825</v>
      </c>
      <c r="C215" s="139" t="s">
        <v>823</v>
      </c>
      <c r="D215" s="659" t="s">
        <v>831</v>
      </c>
      <c r="E215" s="727"/>
      <c r="F215" s="704" t="str">
        <f>IF($D$14&lt;&gt;F$14,"N/A",(F203-F234)*(F212/F189)+F214)</f>
        <v>N/A</v>
      </c>
      <c r="G215" s="704" t="str">
        <f t="shared" ref="G215:H215" si="50">IF($D$14&lt;&gt;G$14,"N/A",(G203-G234)*(G212/G189)+G214)</f>
        <v>N/A</v>
      </c>
      <c r="H215" s="704" t="str">
        <f t="shared" si="50"/>
        <v>N/A</v>
      </c>
      <c r="I215" s="706"/>
      <c r="J215" s="704" t="str">
        <f>IF($D$14&lt;&gt;J$14,"N/A",(J203-J234)*(J212/J189)+J214)</f>
        <v>N/A</v>
      </c>
      <c r="K215" s="726"/>
      <c r="L215" s="137" t="s">
        <v>851</v>
      </c>
      <c r="Q215" s="1222"/>
    </row>
    <row r="216" spans="2:17" ht="31.5" thickBot="1" x14ac:dyDescent="0.45">
      <c r="B216" s="733" t="s">
        <v>828</v>
      </c>
      <c r="C216" s="734" t="s">
        <v>824</v>
      </c>
      <c r="D216" s="735" t="s">
        <v>832</v>
      </c>
      <c r="E216" s="944" t="str">
        <f>IF($D$14&lt;&gt;$E$14,"N/A",100*E190*E58*E212/(3.412*E151)+E214)</f>
        <v>N/A</v>
      </c>
      <c r="F216" s="945"/>
      <c r="G216" s="945"/>
      <c r="H216" s="945"/>
      <c r="I216" s="940"/>
      <c r="J216" s="945"/>
      <c r="K216" s="738"/>
      <c r="L216" s="739" t="s">
        <v>851</v>
      </c>
      <c r="Q216" s="1222"/>
    </row>
    <row r="217" spans="2:17" ht="16" thickBot="1" x14ac:dyDescent="0.45">
      <c r="B217" s="863"/>
      <c r="C217" s="835"/>
      <c r="D217" s="835"/>
      <c r="E217" s="709"/>
      <c r="F217" s="709"/>
      <c r="G217" s="709"/>
      <c r="H217" s="709"/>
      <c r="I217" s="708"/>
      <c r="J217" s="709"/>
      <c r="K217" s="708"/>
      <c r="L217" s="864"/>
      <c r="Q217" s="1222"/>
    </row>
    <row r="218" spans="2:17" x14ac:dyDescent="0.4">
      <c r="B218" s="934" t="s">
        <v>928</v>
      </c>
      <c r="C218" s="931"/>
      <c r="D218" s="931"/>
      <c r="E218" s="931"/>
      <c r="F218" s="931"/>
      <c r="G218" s="931"/>
      <c r="H218" s="931"/>
      <c r="I218" s="931"/>
      <c r="J218" s="931"/>
      <c r="K218" s="931"/>
      <c r="L218" s="932"/>
      <c r="Q218" s="1222"/>
    </row>
    <row r="219" spans="2:17" ht="16" thickBot="1" x14ac:dyDescent="0.45">
      <c r="B219" s="935" t="s">
        <v>933</v>
      </c>
      <c r="C219" s="936" t="s">
        <v>178</v>
      </c>
      <c r="D219" s="735" t="s">
        <v>833</v>
      </c>
      <c r="E219" s="946"/>
      <c r="F219" s="945"/>
      <c r="G219" s="945"/>
      <c r="H219" s="945"/>
      <c r="I219" s="940"/>
      <c r="J219" s="945"/>
      <c r="K219" s="738"/>
      <c r="L219" s="938" t="s">
        <v>178</v>
      </c>
      <c r="Q219" s="1222"/>
    </row>
    <row r="220" spans="2:17" ht="16" thickBot="1" x14ac:dyDescent="0.45">
      <c r="B220" s="863"/>
      <c r="C220" s="835"/>
      <c r="D220" s="835"/>
      <c r="E220" s="709"/>
      <c r="F220" s="709"/>
      <c r="G220" s="709"/>
      <c r="H220" s="709"/>
      <c r="I220" s="708"/>
      <c r="J220" s="709"/>
      <c r="K220" s="708"/>
      <c r="L220" s="864"/>
      <c r="Q220" s="1222"/>
    </row>
    <row r="221" spans="2:17" x14ac:dyDescent="0.4">
      <c r="B221" s="934" t="s">
        <v>929</v>
      </c>
      <c r="C221" s="931"/>
      <c r="D221" s="931"/>
      <c r="E221" s="931"/>
      <c r="F221" s="931"/>
      <c r="G221" s="931"/>
      <c r="H221" s="931"/>
      <c r="I221" s="931"/>
      <c r="J221" s="931"/>
      <c r="K221" s="931"/>
      <c r="L221" s="932"/>
      <c r="Q221" s="1222"/>
    </row>
    <row r="222" spans="2:17" ht="16" thickBot="1" x14ac:dyDescent="0.45">
      <c r="B222" s="935" t="s">
        <v>933</v>
      </c>
      <c r="C222" s="936" t="s">
        <v>178</v>
      </c>
      <c r="D222" s="735" t="s">
        <v>834</v>
      </c>
      <c r="E222" s="947"/>
      <c r="F222" s="903"/>
      <c r="G222" s="903"/>
      <c r="H222" s="903"/>
      <c r="I222" s="737"/>
      <c r="J222" s="903"/>
      <c r="K222" s="888"/>
      <c r="L222" s="938" t="s">
        <v>178</v>
      </c>
      <c r="Q222" s="1222"/>
    </row>
    <row r="223" spans="2:17" ht="16" thickBot="1" x14ac:dyDescent="0.45">
      <c r="B223" s="863"/>
      <c r="C223" s="835"/>
      <c r="D223" s="835"/>
      <c r="E223" s="870"/>
      <c r="F223" s="835"/>
      <c r="G223" s="835"/>
      <c r="H223" s="835"/>
      <c r="I223" s="708"/>
      <c r="J223" s="835"/>
      <c r="K223" s="835"/>
      <c r="L223" s="864"/>
      <c r="Q223" s="1222"/>
    </row>
    <row r="224" spans="2:17" x14ac:dyDescent="0.4">
      <c r="B224" s="934" t="s">
        <v>930</v>
      </c>
      <c r="C224" s="931"/>
      <c r="D224" s="931"/>
      <c r="E224" s="931"/>
      <c r="F224" s="931"/>
      <c r="G224" s="931"/>
      <c r="H224" s="931"/>
      <c r="I224" s="931"/>
      <c r="J224" s="931"/>
      <c r="K224" s="931"/>
      <c r="L224" s="932"/>
      <c r="Q224" s="1222"/>
    </row>
    <row r="225" spans="2:17" ht="16" thickBot="1" x14ac:dyDescent="0.45">
      <c r="B225" s="935" t="s">
        <v>934</v>
      </c>
      <c r="C225" s="936" t="s">
        <v>178</v>
      </c>
      <c r="D225" s="735" t="s">
        <v>835</v>
      </c>
      <c r="E225" s="947"/>
      <c r="F225" s="903"/>
      <c r="G225" s="903"/>
      <c r="H225" s="903"/>
      <c r="I225" s="737"/>
      <c r="J225" s="903"/>
      <c r="K225" s="888"/>
      <c r="L225" s="938" t="s">
        <v>178</v>
      </c>
      <c r="Q225" s="1222"/>
    </row>
    <row r="226" spans="2:17" ht="16" thickBot="1" x14ac:dyDescent="0.45">
      <c r="B226" s="863"/>
      <c r="C226" s="835"/>
      <c r="D226" s="835"/>
      <c r="E226" s="870"/>
      <c r="F226" s="835"/>
      <c r="G226" s="835"/>
      <c r="H226" s="835"/>
      <c r="I226" s="708"/>
      <c r="J226" s="835"/>
      <c r="K226" s="835"/>
      <c r="L226" s="864"/>
      <c r="Q226" s="1222"/>
    </row>
    <row r="227" spans="2:17" x14ac:dyDescent="0.4">
      <c r="B227" s="934" t="s">
        <v>845</v>
      </c>
      <c r="C227" s="931"/>
      <c r="D227" s="931"/>
      <c r="E227" s="931"/>
      <c r="F227" s="931"/>
      <c r="G227" s="931"/>
      <c r="H227" s="931"/>
      <c r="I227" s="931"/>
      <c r="J227" s="931"/>
      <c r="K227" s="931"/>
      <c r="L227" s="932"/>
      <c r="Q227" s="1222"/>
    </row>
    <row r="228" spans="2:17" ht="16.5" x14ac:dyDescent="0.4">
      <c r="B228" s="729" t="s">
        <v>836</v>
      </c>
      <c r="C228" s="519" t="s">
        <v>839</v>
      </c>
      <c r="D228" s="659" t="s">
        <v>838</v>
      </c>
      <c r="E228" s="669" t="str">
        <f>IF($D$14&lt;&gt;$E$14,"N/A",IF('Test Conditions'!$C$100="","",'Test Conditions'!$C$100))</f>
        <v>N/A</v>
      </c>
      <c r="F228" s="669" t="str">
        <f>IF($D$14&lt;&gt;F$14,"N/A",IF('Test Conditions'!$C$100="","",'Test Conditions'!$C$100))</f>
        <v>N/A</v>
      </c>
      <c r="G228" s="669" t="str">
        <f>IF($D$14&lt;&gt;G$14,"N/A",IF('Test Conditions'!$C$100="","",'Test Conditions'!$C$100))</f>
        <v>N/A</v>
      </c>
      <c r="H228" s="669" t="str">
        <f>IF($D$14&lt;&gt;H$14,"N/A",IF('Test Conditions'!$C$100="","",'Test Conditions'!$C$100))</f>
        <v>N/A</v>
      </c>
      <c r="I228" s="706"/>
      <c r="J228" s="669" t="str">
        <f>IF($D$14&lt;&gt;J$14,"N/A",IF('Test Conditions'!$C$100="","",'Test Conditions'!$C$100))</f>
        <v>N/A</v>
      </c>
      <c r="K228" s="726"/>
      <c r="L228" s="520" t="s">
        <v>182</v>
      </c>
      <c r="Q228" s="1222"/>
    </row>
    <row r="229" spans="2:17" ht="16.5" x14ac:dyDescent="0.4">
      <c r="B229" s="731" t="s">
        <v>837</v>
      </c>
      <c r="C229" s="139" t="s">
        <v>841</v>
      </c>
      <c r="D229" s="659" t="s">
        <v>838</v>
      </c>
      <c r="E229" s="704" t="str">
        <f>IF($D$14&lt;&gt;$E$14,"N/A",IF('Test Conditions'!$C$101="","",'Test Conditions'!$C$101))</f>
        <v>N/A</v>
      </c>
      <c r="F229" s="711" t="str">
        <f>IF($D$14&lt;&gt;F$14,"N/A",IF('Test Conditions'!$C$101="","",'Test Conditions'!$C$101))</f>
        <v>N/A</v>
      </c>
      <c r="G229" s="711" t="str">
        <f>IF($D$14&lt;&gt;G$14,"N/A",IF('Test Conditions'!$C$101="","",'Test Conditions'!$C$101))</f>
        <v>N/A</v>
      </c>
      <c r="H229" s="711" t="str">
        <f>IF($D$14&lt;&gt;H$14,"N/A",IF('Test Conditions'!$C$101="","",'Test Conditions'!$C$101))</f>
        <v>N/A</v>
      </c>
      <c r="I229" s="706"/>
      <c r="J229" s="711" t="str">
        <f>IF($D$14&lt;&gt;J$14,"N/A",IF('Test Conditions'!$C$101="","",'Test Conditions'!$C$101))</f>
        <v>N/A</v>
      </c>
      <c r="K229" s="726"/>
      <c r="L229" s="137" t="s">
        <v>182</v>
      </c>
      <c r="Q229" s="1222"/>
    </row>
    <row r="230" spans="2:17" ht="16.5" x14ac:dyDescent="0.4">
      <c r="B230" s="731"/>
      <c r="C230" s="139" t="s">
        <v>713</v>
      </c>
      <c r="D230" s="659" t="s">
        <v>838</v>
      </c>
      <c r="E230" s="710" t="str">
        <f>IF($D$14&lt;&gt;$E$14,"N/A",'Max Test'!$C$106)</f>
        <v>N/A</v>
      </c>
      <c r="F230" s="709"/>
      <c r="G230" s="709"/>
      <c r="H230" s="709"/>
      <c r="I230" s="708"/>
      <c r="J230" s="709"/>
      <c r="K230" s="726"/>
      <c r="L230" s="137" t="s">
        <v>57</v>
      </c>
      <c r="Q230" s="1222"/>
    </row>
    <row r="231" spans="2:17" x14ac:dyDescent="0.4">
      <c r="B231" s="731" t="s">
        <v>843</v>
      </c>
      <c r="C231" s="139" t="s">
        <v>842</v>
      </c>
      <c r="D231" s="659" t="s">
        <v>838</v>
      </c>
      <c r="E231" s="704" t="str">
        <f>IF($D$14&lt;&gt;$E$14,"N/A",100*E189*E190*E58/(E230*3.412*E151))</f>
        <v>N/A</v>
      </c>
      <c r="F231" s="669" t="str">
        <f>IF($D$14&lt;&gt;F$14,"N/A",F192)</f>
        <v>N/A</v>
      </c>
      <c r="G231" s="669" t="str">
        <f>IF($D$14&lt;&gt;G$14,"N/A",G192)</f>
        <v>N/A</v>
      </c>
      <c r="H231" s="669" t="str">
        <f>IF($D$14&lt;&gt;H$14,"N/A",IF('General Info &amp; Test Results'!$C$50="Two-Stage Modulating",H195+I195,
IF('General Info &amp; Test Results'!$C$50="Step Modulating",I195+H197,
"N/A")))</f>
        <v>N/A</v>
      </c>
      <c r="I231" s="706"/>
      <c r="J231" s="669" t="str">
        <f>IF($D$14&lt;&gt;J$14,"N/A",IF('General Info &amp; Test Results'!$C$50="Two-Stage Modulating",J195+K195,
IF('General Info &amp; Test Results'!$C$50="Step Modulating",K195+J197,
"N/A")))</f>
        <v>N/A</v>
      </c>
      <c r="K231" s="726"/>
      <c r="L231" s="137" t="s">
        <v>728</v>
      </c>
      <c r="Q231" s="1222"/>
    </row>
    <row r="232" spans="2:17" x14ac:dyDescent="0.4">
      <c r="B232" s="731" t="s">
        <v>844</v>
      </c>
      <c r="C232" s="139" t="s">
        <v>178</v>
      </c>
      <c r="D232" s="659" t="s">
        <v>838</v>
      </c>
      <c r="E232" s="705" t="str">
        <f>IF($D$14&lt;&gt;E$14,"N/A",4160)</f>
        <v>N/A</v>
      </c>
      <c r="F232" s="705" t="str">
        <f t="shared" ref="F232:J232" si="51">IF($D$14&lt;&gt;F$14,"N/A",4160)</f>
        <v>N/A</v>
      </c>
      <c r="G232" s="705" t="str">
        <f t="shared" si="51"/>
        <v>N/A</v>
      </c>
      <c r="H232" s="705" t="str">
        <f t="shared" si="51"/>
        <v>N/A</v>
      </c>
      <c r="I232" s="706"/>
      <c r="J232" s="705" t="str">
        <f t="shared" si="51"/>
        <v>N/A</v>
      </c>
      <c r="K232" s="726"/>
      <c r="L232" s="137" t="s">
        <v>709</v>
      </c>
      <c r="Q232" s="1222"/>
    </row>
    <row r="233" spans="2:17" x14ac:dyDescent="0.4">
      <c r="B233" s="731" t="s">
        <v>847</v>
      </c>
      <c r="C233" s="139" t="s">
        <v>58</v>
      </c>
      <c r="D233" s="659" t="s">
        <v>838</v>
      </c>
      <c r="E233" s="712" t="str">
        <f>IF($D$14&lt;&gt;E$14,"N/A",0.001)</f>
        <v>N/A</v>
      </c>
      <c r="F233" s="712" t="str">
        <f>IF($D$14&lt;&gt;F$14,"N/A",0.001)</f>
        <v>N/A</v>
      </c>
      <c r="G233" s="712" t="str">
        <f t="shared" ref="G233:J233" si="52">IF($D$14&lt;&gt;G$14,"N/A",0.001)</f>
        <v>N/A</v>
      </c>
      <c r="H233" s="712" t="str">
        <f t="shared" si="52"/>
        <v>N/A</v>
      </c>
      <c r="I233" s="706"/>
      <c r="J233" s="712" t="str">
        <f t="shared" si="52"/>
        <v>N/A</v>
      </c>
      <c r="K233" s="726"/>
      <c r="L233" s="137" t="s">
        <v>848</v>
      </c>
      <c r="Q233" s="1222"/>
    </row>
    <row r="234" spans="2:17" ht="17" thickBot="1" x14ac:dyDescent="0.45">
      <c r="B234" s="733" t="s">
        <v>845</v>
      </c>
      <c r="C234" s="734" t="s">
        <v>846</v>
      </c>
      <c r="D234" s="735" t="s">
        <v>838</v>
      </c>
      <c r="E234" s="736" t="str">
        <f>IF($D$14&lt;&gt;$E$14,"N/A",(E228*(E232-E231)+E149*E229)*E233)</f>
        <v>N/A</v>
      </c>
      <c r="F234" s="736" t="str">
        <f>IF($D$14&lt;&gt;F$14,"N/A",(F228*(F232-F231)+F149*F229)*F233)</f>
        <v>N/A</v>
      </c>
      <c r="G234" s="736" t="str">
        <f>IF($D$14&lt;&gt;G$14,"N/A",(G228*(G232-G231)+G149*G229)*G233)</f>
        <v>N/A</v>
      </c>
      <c r="H234" s="736" t="str">
        <f>IF($D$14&lt;&gt;H$14,"N/A",(H228*(H232-H231)+H149*H229)*H233)</f>
        <v>N/A</v>
      </c>
      <c r="I234" s="737"/>
      <c r="J234" s="736" t="str">
        <f>IF($D$14&lt;&gt;J$14,"N/A",(J228*(J232-J231)+J149*J229)*J233)</f>
        <v>N/A</v>
      </c>
      <c r="K234" s="738"/>
      <c r="L234" s="739" t="s">
        <v>851</v>
      </c>
      <c r="Q234" s="1222"/>
    </row>
    <row r="235" spans="2:17" x14ac:dyDescent="0.4">
      <c r="B235" s="130"/>
      <c r="C235" s="130"/>
      <c r="D235" s="130"/>
      <c r="E235" s="130"/>
      <c r="F235" s="130"/>
      <c r="G235" s="130"/>
      <c r="H235" s="130"/>
      <c r="I235" s="130"/>
      <c r="L235" s="130"/>
      <c r="Q235" s="1222"/>
    </row>
    <row r="236" spans="2:17" ht="16" thickBot="1" x14ac:dyDescent="0.45">
      <c r="B236" s="130"/>
      <c r="C236" s="130"/>
      <c r="D236" s="130"/>
      <c r="E236" s="183"/>
      <c r="J236" s="126"/>
      <c r="K236" s="126"/>
      <c r="Q236" s="1222"/>
    </row>
    <row r="237" spans="2:17" ht="16" thickBot="1" x14ac:dyDescent="0.45">
      <c r="B237" s="130"/>
      <c r="C237" s="508" t="str">
        <f>"For use in ANSI/ASHRAE Section " &amp; D14 &amp; ".9.18: Off-Cycle Stack Gas Draft Factor"</f>
        <v>For use in ANSI/ASHRAE Section Unknown.9.18: Off-Cycle Stack Gas Draft Factor</v>
      </c>
      <c r="D237" s="626"/>
      <c r="E237" s="627"/>
      <c r="F237" s="628"/>
      <c r="G237" s="628"/>
      <c r="H237" s="628"/>
      <c r="I237" s="628"/>
      <c r="J237" s="629"/>
      <c r="K237" s="126"/>
      <c r="Q237" s="1222"/>
    </row>
    <row r="238" spans="2:17" x14ac:dyDescent="0.4">
      <c r="B238" s="130"/>
      <c r="C238" s="630" t="s">
        <v>34</v>
      </c>
      <c r="D238" s="624" t="s">
        <v>138</v>
      </c>
      <c r="E238" s="625" t="s">
        <v>33</v>
      </c>
      <c r="F238" s="1509" t="s">
        <v>72</v>
      </c>
      <c r="G238" s="1510"/>
      <c r="H238" s="1510"/>
      <c r="I238" s="1510"/>
      <c r="J238" s="1511"/>
      <c r="K238" s="126"/>
      <c r="Q238" s="1222"/>
    </row>
    <row r="239" spans="2:17" x14ac:dyDescent="0.4">
      <c r="B239" s="130"/>
      <c r="C239" s="608" t="e">
        <f ca="1">OFFSET($D$17,0,MATCH($D$14,$E$14:$K$14,0))</f>
        <v>#N/A</v>
      </c>
      <c r="D239" s="586" t="s">
        <v>178</v>
      </c>
      <c r="E239" s="586" t="s">
        <v>178</v>
      </c>
      <c r="F239" s="1512" t="s">
        <v>39</v>
      </c>
      <c r="G239" s="1513"/>
      <c r="H239" s="1513"/>
      <c r="I239" s="1513"/>
      <c r="J239" s="1514"/>
      <c r="K239" s="126"/>
      <c r="Q239" s="1222"/>
    </row>
    <row r="240" spans="2:17" ht="16.5" x14ac:dyDescent="0.4">
      <c r="B240" s="130"/>
      <c r="C240" s="610">
        <f>'Test Conditions'!C87</f>
        <v>0</v>
      </c>
      <c r="D240" s="586" t="s">
        <v>36</v>
      </c>
      <c r="E240" s="578" t="s">
        <v>600</v>
      </c>
      <c r="F240" s="1512" t="s">
        <v>593</v>
      </c>
      <c r="G240" s="1513"/>
      <c r="H240" s="1513"/>
      <c r="I240" s="1513"/>
      <c r="J240" s="1514"/>
      <c r="K240" s="126"/>
      <c r="Q240" s="1222"/>
    </row>
    <row r="241" spans="2:17" ht="16.5" x14ac:dyDescent="0.4">
      <c r="B241" s="130"/>
      <c r="C241" s="610" t="str">
        <f>'Test Conditions'!C89</f>
        <v/>
      </c>
      <c r="D241" s="586" t="s">
        <v>36</v>
      </c>
      <c r="E241" s="578" t="s">
        <v>615</v>
      </c>
      <c r="F241" s="1512" t="s">
        <v>614</v>
      </c>
      <c r="G241" s="1513"/>
      <c r="H241" s="1513"/>
      <c r="I241" s="1513"/>
      <c r="J241" s="1514"/>
      <c r="K241" s="126"/>
      <c r="Q241" s="1222"/>
    </row>
    <row r="242" spans="2:17" ht="16.5" x14ac:dyDescent="0.4">
      <c r="B242" s="130"/>
      <c r="C242" s="610" t="e">
        <f ca="1">OFFSET($D$99,0,MATCH($D$14,$E$14:$K$14,0))</f>
        <v>#N/A</v>
      </c>
      <c r="D242" s="586" t="s">
        <v>36</v>
      </c>
      <c r="E242" s="586" t="s">
        <v>661</v>
      </c>
      <c r="F242" s="1512" t="s">
        <v>468</v>
      </c>
      <c r="G242" s="1513"/>
      <c r="H242" s="1513"/>
      <c r="I242" s="1513"/>
      <c r="J242" s="1514"/>
      <c r="K242" s="126"/>
      <c r="Q242" s="1222"/>
    </row>
    <row r="243" spans="2:17" ht="16.5" x14ac:dyDescent="0.4">
      <c r="B243" s="130"/>
      <c r="C243" s="610" t="e">
        <f ca="1">OFFSET($D$89,0,MATCH($D$14,$E$14:$K$14,0))</f>
        <v>#N/A</v>
      </c>
      <c r="D243" s="586" t="s">
        <v>36</v>
      </c>
      <c r="E243" s="586" t="s">
        <v>645</v>
      </c>
      <c r="F243" s="1512" t="s">
        <v>459</v>
      </c>
      <c r="G243" s="1513"/>
      <c r="H243" s="1513"/>
      <c r="I243" s="1513"/>
      <c r="J243" s="1514"/>
      <c r="K243" s="126"/>
      <c r="Q243" s="1222"/>
    </row>
    <row r="244" spans="2:17" ht="16.5" x14ac:dyDescent="0.4">
      <c r="B244" s="130"/>
      <c r="C244" s="608">
        <f>COUNT(C261:C360)</f>
        <v>100</v>
      </c>
      <c r="D244" s="586" t="s">
        <v>178</v>
      </c>
      <c r="E244" s="586" t="s">
        <v>578</v>
      </c>
      <c r="F244" s="1512" t="s">
        <v>695</v>
      </c>
      <c r="G244" s="1513"/>
      <c r="H244" s="1513"/>
      <c r="I244" s="1513"/>
      <c r="J244" s="1514"/>
      <c r="K244" s="126"/>
      <c r="Q244" s="1222"/>
    </row>
    <row r="245" spans="2:17" ht="16.5" x14ac:dyDescent="0.4">
      <c r="B245" s="130"/>
      <c r="C245" s="631">
        <f>1/C244</f>
        <v>0.01</v>
      </c>
      <c r="D245" s="586" t="s">
        <v>178</v>
      </c>
      <c r="E245" s="586" t="s">
        <v>696</v>
      </c>
      <c r="F245" s="1515" t="s">
        <v>618</v>
      </c>
      <c r="G245" s="1515"/>
      <c r="H245" s="1515"/>
      <c r="I245" s="1515"/>
      <c r="J245" s="1516"/>
      <c r="K245" s="126"/>
      <c r="Q245" s="1222"/>
    </row>
    <row r="246" spans="2:17" ht="16.5" x14ac:dyDescent="0.4">
      <c r="B246" s="130"/>
      <c r="C246" s="609" t="e">
        <f ca="1">OFFSET($D$95,0,MATCH($D$14,$E$14:$K$14,0))</f>
        <v>#N/A</v>
      </c>
      <c r="D246" s="586" t="s">
        <v>51</v>
      </c>
      <c r="E246" s="586" t="s">
        <v>657</v>
      </c>
      <c r="F246" s="1515" t="s">
        <v>464</v>
      </c>
      <c r="G246" s="1515"/>
      <c r="H246" s="1515"/>
      <c r="I246" s="1515"/>
      <c r="J246" s="1516"/>
      <c r="K246" s="126"/>
      <c r="Q246" s="1222"/>
    </row>
    <row r="247" spans="2:17" ht="16.5" x14ac:dyDescent="0.4">
      <c r="B247" s="130"/>
      <c r="C247" s="609" t="e">
        <f ca="1">OFFSET($D$107,0,MATCH($D$14,$E$14:$K$14,0))</f>
        <v>#N/A</v>
      </c>
      <c r="D247" s="586" t="s">
        <v>51</v>
      </c>
      <c r="E247" s="586" t="s">
        <v>669</v>
      </c>
      <c r="F247" s="1533" t="s">
        <v>475</v>
      </c>
      <c r="G247" s="1533"/>
      <c r="H247" s="1533"/>
      <c r="I247" s="1533"/>
      <c r="J247" s="1534"/>
      <c r="K247" s="126"/>
      <c r="Q247" s="1222"/>
    </row>
    <row r="248" spans="2:17" ht="16.5" x14ac:dyDescent="0.4">
      <c r="B248" s="130"/>
      <c r="C248" s="609" t="e">
        <f ca="1">OFFSET($D$106,0,MATCH($D$14,$E$14:$K$14,0))</f>
        <v>#N/A</v>
      </c>
      <c r="D248" s="586" t="s">
        <v>51</v>
      </c>
      <c r="E248" s="586" t="s">
        <v>668</v>
      </c>
      <c r="F248" s="1533" t="s">
        <v>616</v>
      </c>
      <c r="G248" s="1533"/>
      <c r="H248" s="1533"/>
      <c r="I248" s="1533"/>
      <c r="J248" s="1534"/>
      <c r="K248" s="126"/>
      <c r="Q248" s="1222"/>
    </row>
    <row r="249" spans="2:17" ht="16.5" x14ac:dyDescent="0.4">
      <c r="B249" s="130"/>
      <c r="C249" s="609" t="e">
        <f ca="1">OFFSET($D$105,0,MATCH($D$14,$E$14:$K$14,0))</f>
        <v>#N/A</v>
      </c>
      <c r="D249" s="586" t="s">
        <v>51</v>
      </c>
      <c r="E249" s="139" t="s">
        <v>667</v>
      </c>
      <c r="F249" s="1533" t="s">
        <v>474</v>
      </c>
      <c r="G249" s="1533"/>
      <c r="H249" s="1533"/>
      <c r="I249" s="1533"/>
      <c r="J249" s="1534"/>
      <c r="K249" s="126"/>
      <c r="Q249" s="1222"/>
    </row>
    <row r="250" spans="2:17" ht="17.5" x14ac:dyDescent="0.4">
      <c r="B250" s="130"/>
      <c r="C250" s="609">
        <f>'Test Conditions'!C82</f>
        <v>0</v>
      </c>
      <c r="D250" s="578" t="s">
        <v>595</v>
      </c>
      <c r="E250" s="578" t="s">
        <v>596</v>
      </c>
      <c r="F250" s="1517" t="s">
        <v>588</v>
      </c>
      <c r="G250" s="1517"/>
      <c r="H250" s="1517"/>
      <c r="I250" s="1517"/>
      <c r="J250" s="1518"/>
      <c r="K250" s="126"/>
      <c r="Q250" s="1222"/>
    </row>
    <row r="251" spans="2:17" ht="17.5" x14ac:dyDescent="0.4">
      <c r="B251" s="130"/>
      <c r="C251" s="609">
        <f>'Test Conditions'!C83</f>
        <v>0</v>
      </c>
      <c r="D251" s="578" t="s">
        <v>595</v>
      </c>
      <c r="E251" s="578" t="s">
        <v>597</v>
      </c>
      <c r="F251" s="1517" t="s">
        <v>589</v>
      </c>
      <c r="G251" s="1517"/>
      <c r="H251" s="1517"/>
      <c r="I251" s="1517"/>
      <c r="J251" s="1518"/>
      <c r="K251" s="126"/>
      <c r="Q251" s="1222"/>
    </row>
    <row r="252" spans="2:17" x14ac:dyDescent="0.4">
      <c r="B252" s="130"/>
      <c r="C252" s="609">
        <f>'Test Conditions'!C84</f>
        <v>0</v>
      </c>
      <c r="D252" s="578" t="s">
        <v>587</v>
      </c>
      <c r="E252" s="578" t="s">
        <v>586</v>
      </c>
      <c r="F252" s="1517" t="s">
        <v>590</v>
      </c>
      <c r="G252" s="1517"/>
      <c r="H252" s="1517"/>
      <c r="I252" s="1517"/>
      <c r="J252" s="1518"/>
      <c r="K252" s="126"/>
      <c r="Q252" s="1222"/>
    </row>
    <row r="253" spans="2:17" ht="16.5" x14ac:dyDescent="0.4">
      <c r="B253" s="130"/>
      <c r="C253" s="609" t="str">
        <f>'Test Conditions'!C91</f>
        <v/>
      </c>
      <c r="D253" s="586" t="s">
        <v>36</v>
      </c>
      <c r="E253" s="586" t="s">
        <v>612</v>
      </c>
      <c r="F253" s="1515"/>
      <c r="G253" s="1515"/>
      <c r="H253" s="1515"/>
      <c r="I253" s="1515"/>
      <c r="J253" s="1516"/>
      <c r="K253" s="126"/>
      <c r="Q253" s="1222"/>
    </row>
    <row r="254" spans="2:17" ht="16.5" x14ac:dyDescent="0.4">
      <c r="B254" s="130"/>
      <c r="C254" s="610" t="e">
        <f ca="1">OFFSET($D$93,0,MATCH($D$14,$E$14:$K$14,0))</f>
        <v>#N/A</v>
      </c>
      <c r="D254" s="586" t="s">
        <v>178</v>
      </c>
      <c r="E254" s="586" t="s">
        <v>653</v>
      </c>
      <c r="F254" s="1515" t="s">
        <v>463</v>
      </c>
      <c r="G254" s="1515"/>
      <c r="H254" s="1515"/>
      <c r="I254" s="1515"/>
      <c r="J254" s="1516"/>
      <c r="K254" s="126"/>
      <c r="Q254" s="1222"/>
    </row>
    <row r="255" spans="2:17" ht="17.5" x14ac:dyDescent="0.4">
      <c r="B255" s="130"/>
      <c r="C255" s="610" t="e">
        <f ca="1">OFFSET($D$94,0,MATCH($D$14,$E$14:$K$14,0))</f>
        <v>#N/A</v>
      </c>
      <c r="D255" s="586" t="s">
        <v>178</v>
      </c>
      <c r="E255" s="586" t="s">
        <v>656</v>
      </c>
      <c r="F255" s="1515" t="s">
        <v>74</v>
      </c>
      <c r="G255" s="1515"/>
      <c r="H255" s="1515"/>
      <c r="I255" s="1515"/>
      <c r="J255" s="1516"/>
      <c r="K255" s="126"/>
      <c r="Q255" s="1222"/>
    </row>
    <row r="256" spans="2:17" x14ac:dyDescent="0.4">
      <c r="B256" s="130"/>
      <c r="C256" s="632" t="e">
        <f ca="1">OFFSET($D$31,0,MATCH($D$14,$E$14:$K$14,0))</f>
        <v>#N/A</v>
      </c>
      <c r="D256" s="586" t="s">
        <v>178</v>
      </c>
      <c r="E256" s="586" t="s">
        <v>60</v>
      </c>
      <c r="F256" s="1515" t="s">
        <v>436</v>
      </c>
      <c r="G256" s="1515"/>
      <c r="H256" s="1515"/>
      <c r="I256" s="1515"/>
      <c r="J256" s="1516"/>
      <c r="K256" s="126"/>
      <c r="Q256" s="1222"/>
    </row>
    <row r="257" spans="2:17" ht="16.5" x14ac:dyDescent="0.4">
      <c r="B257" s="130"/>
      <c r="C257" s="631" t="e">
        <f ca="1">SUMPRODUCT(M261:M360*((100-N261:N360)*I261:I360*J261:J360+N261:N360*K261:K360*L261:L360))*C245/
(SUMPRODUCT(((100-C246)*E261:E360*F261:F360+C246*G261:G360*H261:H360))*C245)</f>
        <v>#VALUE!</v>
      </c>
      <c r="D257" s="586" t="s">
        <v>178</v>
      </c>
      <c r="E257" s="586" t="s">
        <v>670</v>
      </c>
      <c r="F257" s="1515" t="s">
        <v>476</v>
      </c>
      <c r="G257" s="1515"/>
      <c r="H257" s="1515"/>
      <c r="I257" s="1515"/>
      <c r="J257" s="1516"/>
      <c r="K257" s="126"/>
      <c r="Q257" s="1222"/>
    </row>
    <row r="258" spans="2:17" ht="17" thickBot="1" x14ac:dyDescent="0.45">
      <c r="B258" s="130"/>
      <c r="C258" s="633" t="e">
        <f ca="1">SUMPRODUCT(M261:M360*((100-N261:N360)*J261:J360+N261:N360*L261:L360))*C245/(
SUMPRODUCT(((100-C246)*F261:F360+C246*H261:H360))*C245)</f>
        <v>#VALUE!</v>
      </c>
      <c r="D258" s="634" t="s">
        <v>178</v>
      </c>
      <c r="E258" s="634" t="s">
        <v>671</v>
      </c>
      <c r="F258" s="1519" t="s">
        <v>477</v>
      </c>
      <c r="G258" s="1519"/>
      <c r="H258" s="1519"/>
      <c r="I258" s="1519"/>
      <c r="J258" s="1520"/>
      <c r="K258" s="126"/>
      <c r="Q258" s="1222"/>
    </row>
    <row r="259" spans="2:17" ht="16" thickBot="1" x14ac:dyDescent="0.45">
      <c r="B259" s="130"/>
      <c r="C259" s="635"/>
      <c r="D259" s="587"/>
      <c r="E259" s="613"/>
      <c r="F259" s="613"/>
      <c r="G259" s="613"/>
      <c r="H259" s="613"/>
      <c r="I259" s="613"/>
      <c r="J259" s="570"/>
      <c r="Q259" s="1222"/>
    </row>
    <row r="260" spans="2:17" ht="16.5" x14ac:dyDescent="0.4">
      <c r="B260" s="130"/>
      <c r="C260" s="662" t="s">
        <v>617</v>
      </c>
      <c r="D260" s="663" t="s">
        <v>579</v>
      </c>
      <c r="E260" s="664" t="s">
        <v>1146</v>
      </c>
      <c r="F260" s="664" t="s">
        <v>1147</v>
      </c>
      <c r="G260" s="664" t="s">
        <v>1148</v>
      </c>
      <c r="H260" s="664" t="s">
        <v>1145</v>
      </c>
      <c r="I260" s="664" t="s">
        <v>1149</v>
      </c>
      <c r="J260" s="664" t="s">
        <v>1150</v>
      </c>
      <c r="K260" s="664" t="s">
        <v>1151</v>
      </c>
      <c r="L260" s="664" t="s">
        <v>1152</v>
      </c>
      <c r="M260" s="665" t="s">
        <v>1144</v>
      </c>
      <c r="N260" s="665" t="s">
        <v>697</v>
      </c>
      <c r="O260" s="666" t="s">
        <v>698</v>
      </c>
      <c r="Q260" s="1222"/>
    </row>
    <row r="261" spans="2:17" x14ac:dyDescent="0.4">
      <c r="B261" s="130"/>
      <c r="C261" s="636">
        <v>1</v>
      </c>
      <c r="D261" s="589" t="str">
        <f ca="1">IFERROR(C261*$C$245*$C$242,"")</f>
        <v/>
      </c>
      <c r="E261" s="589" t="str">
        <f ca="1">IFERROR($C$247*EXP(-$D261/$C$243),"")</f>
        <v/>
      </c>
      <c r="F261" s="589" t="str">
        <f ca="1">IFERROR(($E261+28)^(0.56)/(($E261+530)^(1.19)),"")</f>
        <v/>
      </c>
      <c r="G261" s="589" t="str">
        <f t="shared" ref="G261:G292" ca="1" si="53">IFERROR(E261+100,"")</f>
        <v/>
      </c>
      <c r="H261" s="589" t="str">
        <f ca="1">IFERROR(($E261+128)^(0.56)/(($E261+630)^(1.19)),"")</f>
        <v/>
      </c>
      <c r="I261" s="589" t="str">
        <f ca="1">IFERROR($O261*EXP(-$D261/$C$243),"")</f>
        <v/>
      </c>
      <c r="J261" s="589" t="str">
        <f ca="1">IFERROR(($I261+28)^(0.56)/(($I261+530)^(1.19)),"")</f>
        <v/>
      </c>
      <c r="K261" s="589" t="str">
        <f ca="1">IFERROR(I261+100,"")</f>
        <v/>
      </c>
      <c r="L261" s="589" t="str">
        <f ca="1">IFERROR(($I261+128)^(0.56)/(($I261+630)^(1.19)),"")</f>
        <v/>
      </c>
      <c r="M261" s="588" t="str">
        <f t="shared" ref="M261:M292" ca="1" si="54">IFERROR(IF(D261&lt;$C$240,1,
IF(D261&lt;$C$241,SQRT(5/(5+(2.6*(($C$251/$C$250)*SIN((PI()/2-$C$252)*(D261-$C$240)/($C$241-$C$240)))^1.58)/((1-($C$251/$C$250)*SIN((PI()/2-$C$252)*(D261-$C$240)/($C$241-$C$240)))^2))),
$C$253)),"")</f>
        <v/>
      </c>
      <c r="N261" s="588" t="str">
        <f t="shared" ref="N261:N292" ca="1" si="55">IFERROR(IF($C$256*$M261*$C$255&gt;$C$254,$C$254*$C$248/($C$256*$M261*$C$255),$C$248),"")</f>
        <v/>
      </c>
      <c r="O261" s="667" t="str">
        <f ca="1">IFERROR(IF($C$256*$M261*$C$255&gt;$C$254,$C$254*$C$249/($C$256*$M261*$C$255),$C$249),"")</f>
        <v/>
      </c>
      <c r="Q261" s="1222"/>
    </row>
    <row r="262" spans="2:17" x14ac:dyDescent="0.4">
      <c r="B262" s="130"/>
      <c r="C262" s="636">
        <v>2</v>
      </c>
      <c r="D262" s="589" t="str">
        <f t="shared" ref="D262:D325" ca="1" si="56">IFERROR(C262*$C$245*$C$242,"")</f>
        <v/>
      </c>
      <c r="E262" s="589" t="str">
        <f t="shared" ref="E262:E325" ca="1" si="57">IFERROR($C$247*EXP(-$D262/$C$243),"")</f>
        <v/>
      </c>
      <c r="F262" s="589" t="str">
        <f t="shared" ref="F262:F325" ca="1" si="58">IFERROR(($E262+28)^(0.56)/(($E262+530)^(1.19)),"")</f>
        <v/>
      </c>
      <c r="G262" s="589" t="str">
        <f t="shared" ca="1" si="53"/>
        <v/>
      </c>
      <c r="H262" s="589" t="str">
        <f t="shared" ref="H262:H325" ca="1" si="59">IFERROR(($E262+128)^(0.56)/(($E262+630)^(1.19)),"")</f>
        <v/>
      </c>
      <c r="I262" s="589" t="str">
        <f t="shared" ref="I262:I325" ca="1" si="60">IFERROR($O262*EXP(-$D262/$C$243),"")</f>
        <v/>
      </c>
      <c r="J262" s="589" t="str">
        <f t="shared" ref="J262:J292" ca="1" si="61">IFERROR(($I262+28)^(0.56)/(($I262+530)^(1.19)),"")</f>
        <v/>
      </c>
      <c r="K262" s="589" t="str">
        <f t="shared" ref="K262:K292" ca="1" si="62">IFERROR(I262+100,"")</f>
        <v/>
      </c>
      <c r="L262" s="589" t="str">
        <f t="shared" ref="L262:L292" ca="1" si="63">IFERROR(($I262+128)^(0.56)/(($I262+630)^(1.19)),"")</f>
        <v/>
      </c>
      <c r="M262" s="588" t="str">
        <f t="shared" ca="1" si="54"/>
        <v/>
      </c>
      <c r="N262" s="588" t="str">
        <f t="shared" ca="1" si="55"/>
        <v/>
      </c>
      <c r="O262" s="667" t="str">
        <f t="shared" ref="O262:O292" ca="1" si="64">IFERROR(IF($C$256*$M262*$C$255&gt;$C$254,$C$254*$C$249/($C$256*$M262*$C$255),$C$249),"")</f>
        <v/>
      </c>
      <c r="Q262" s="1222"/>
    </row>
    <row r="263" spans="2:17" x14ac:dyDescent="0.4">
      <c r="B263" s="130"/>
      <c r="C263" s="636">
        <v>3</v>
      </c>
      <c r="D263" s="589" t="str">
        <f t="shared" ca="1" si="56"/>
        <v/>
      </c>
      <c r="E263" s="589" t="str">
        <f t="shared" ca="1" si="57"/>
        <v/>
      </c>
      <c r="F263" s="589" t="str">
        <f t="shared" ca="1" si="58"/>
        <v/>
      </c>
      <c r="G263" s="589" t="str">
        <f t="shared" ca="1" si="53"/>
        <v/>
      </c>
      <c r="H263" s="589" t="str">
        <f t="shared" ca="1" si="59"/>
        <v/>
      </c>
      <c r="I263" s="589" t="str">
        <f t="shared" ca="1" si="60"/>
        <v/>
      </c>
      <c r="J263" s="589" t="str">
        <f t="shared" ca="1" si="61"/>
        <v/>
      </c>
      <c r="K263" s="589" t="str">
        <f t="shared" ca="1" si="62"/>
        <v/>
      </c>
      <c r="L263" s="589" t="str">
        <f t="shared" ca="1" si="63"/>
        <v/>
      </c>
      <c r="M263" s="588" t="str">
        <f t="shared" ca="1" si="54"/>
        <v/>
      </c>
      <c r="N263" s="588" t="str">
        <f t="shared" ca="1" si="55"/>
        <v/>
      </c>
      <c r="O263" s="667" t="str">
        <f t="shared" ca="1" si="64"/>
        <v/>
      </c>
      <c r="Q263" s="1222"/>
    </row>
    <row r="264" spans="2:17" x14ac:dyDescent="0.4">
      <c r="B264" s="130"/>
      <c r="C264" s="636">
        <v>4</v>
      </c>
      <c r="D264" s="589" t="str">
        <f t="shared" ca="1" si="56"/>
        <v/>
      </c>
      <c r="E264" s="589" t="str">
        <f t="shared" ca="1" si="57"/>
        <v/>
      </c>
      <c r="F264" s="589" t="str">
        <f t="shared" ca="1" si="58"/>
        <v/>
      </c>
      <c r="G264" s="589" t="str">
        <f t="shared" ca="1" si="53"/>
        <v/>
      </c>
      <c r="H264" s="589" t="str">
        <f t="shared" ca="1" si="59"/>
        <v/>
      </c>
      <c r="I264" s="589" t="str">
        <f t="shared" ca="1" si="60"/>
        <v/>
      </c>
      <c r="J264" s="589" t="str">
        <f t="shared" ca="1" si="61"/>
        <v/>
      </c>
      <c r="K264" s="589" t="str">
        <f t="shared" ca="1" si="62"/>
        <v/>
      </c>
      <c r="L264" s="589" t="str">
        <f t="shared" ca="1" si="63"/>
        <v/>
      </c>
      <c r="M264" s="588" t="str">
        <f t="shared" ca="1" si="54"/>
        <v/>
      </c>
      <c r="N264" s="588" t="str">
        <f t="shared" ca="1" si="55"/>
        <v/>
      </c>
      <c r="O264" s="667" t="str">
        <f t="shared" ca="1" si="64"/>
        <v/>
      </c>
      <c r="Q264" s="1222"/>
    </row>
    <row r="265" spans="2:17" x14ac:dyDescent="0.4">
      <c r="B265" s="130"/>
      <c r="C265" s="636">
        <v>5</v>
      </c>
      <c r="D265" s="589" t="str">
        <f t="shared" ca="1" si="56"/>
        <v/>
      </c>
      <c r="E265" s="589" t="str">
        <f t="shared" ca="1" si="57"/>
        <v/>
      </c>
      <c r="F265" s="589" t="str">
        <f t="shared" ca="1" si="58"/>
        <v/>
      </c>
      <c r="G265" s="589" t="str">
        <f t="shared" ca="1" si="53"/>
        <v/>
      </c>
      <c r="H265" s="589" t="str">
        <f t="shared" ca="1" si="59"/>
        <v/>
      </c>
      <c r="I265" s="589" t="str">
        <f t="shared" ca="1" si="60"/>
        <v/>
      </c>
      <c r="J265" s="589" t="str">
        <f t="shared" ca="1" si="61"/>
        <v/>
      </c>
      <c r="K265" s="589" t="str">
        <f t="shared" ca="1" si="62"/>
        <v/>
      </c>
      <c r="L265" s="589" t="str">
        <f t="shared" ca="1" si="63"/>
        <v/>
      </c>
      <c r="M265" s="588" t="str">
        <f t="shared" ca="1" si="54"/>
        <v/>
      </c>
      <c r="N265" s="588" t="str">
        <f t="shared" ca="1" si="55"/>
        <v/>
      </c>
      <c r="O265" s="667" t="str">
        <f t="shared" ca="1" si="64"/>
        <v/>
      </c>
      <c r="Q265" s="1222"/>
    </row>
    <row r="266" spans="2:17" x14ac:dyDescent="0.4">
      <c r="B266" s="130"/>
      <c r="C266" s="636">
        <v>6</v>
      </c>
      <c r="D266" s="589" t="str">
        <f t="shared" ca="1" si="56"/>
        <v/>
      </c>
      <c r="E266" s="589" t="str">
        <f t="shared" ca="1" si="57"/>
        <v/>
      </c>
      <c r="F266" s="589" t="str">
        <f t="shared" ca="1" si="58"/>
        <v/>
      </c>
      <c r="G266" s="589" t="str">
        <f t="shared" ca="1" si="53"/>
        <v/>
      </c>
      <c r="H266" s="589" t="str">
        <f t="shared" ca="1" si="59"/>
        <v/>
      </c>
      <c r="I266" s="589" t="str">
        <f t="shared" ca="1" si="60"/>
        <v/>
      </c>
      <c r="J266" s="589" t="str">
        <f t="shared" ca="1" si="61"/>
        <v/>
      </c>
      <c r="K266" s="589" t="str">
        <f t="shared" ca="1" si="62"/>
        <v/>
      </c>
      <c r="L266" s="589" t="str">
        <f t="shared" ca="1" si="63"/>
        <v/>
      </c>
      <c r="M266" s="588" t="str">
        <f t="shared" ca="1" si="54"/>
        <v/>
      </c>
      <c r="N266" s="588" t="str">
        <f t="shared" ca="1" si="55"/>
        <v/>
      </c>
      <c r="O266" s="667" t="str">
        <f t="shared" ca="1" si="64"/>
        <v/>
      </c>
      <c r="Q266" s="1222"/>
    </row>
    <row r="267" spans="2:17" x14ac:dyDescent="0.4">
      <c r="B267" s="130"/>
      <c r="C267" s="636">
        <v>7</v>
      </c>
      <c r="D267" s="589" t="str">
        <f t="shared" ca="1" si="56"/>
        <v/>
      </c>
      <c r="E267" s="589" t="str">
        <f t="shared" ca="1" si="57"/>
        <v/>
      </c>
      <c r="F267" s="589" t="str">
        <f t="shared" ca="1" si="58"/>
        <v/>
      </c>
      <c r="G267" s="589" t="str">
        <f t="shared" ca="1" si="53"/>
        <v/>
      </c>
      <c r="H267" s="589" t="str">
        <f t="shared" ca="1" si="59"/>
        <v/>
      </c>
      <c r="I267" s="589" t="str">
        <f t="shared" ca="1" si="60"/>
        <v/>
      </c>
      <c r="J267" s="589" t="str">
        <f t="shared" ca="1" si="61"/>
        <v/>
      </c>
      <c r="K267" s="589" t="str">
        <f t="shared" ca="1" si="62"/>
        <v/>
      </c>
      <c r="L267" s="589" t="str">
        <f t="shared" ca="1" si="63"/>
        <v/>
      </c>
      <c r="M267" s="588" t="str">
        <f t="shared" ca="1" si="54"/>
        <v/>
      </c>
      <c r="N267" s="588" t="str">
        <f t="shared" ca="1" si="55"/>
        <v/>
      </c>
      <c r="O267" s="667" t="str">
        <f t="shared" ca="1" si="64"/>
        <v/>
      </c>
      <c r="Q267" s="1222"/>
    </row>
    <row r="268" spans="2:17" x14ac:dyDescent="0.4">
      <c r="B268" s="130"/>
      <c r="C268" s="636">
        <v>8</v>
      </c>
      <c r="D268" s="589" t="str">
        <f t="shared" ca="1" si="56"/>
        <v/>
      </c>
      <c r="E268" s="589" t="str">
        <f t="shared" ca="1" si="57"/>
        <v/>
      </c>
      <c r="F268" s="589" t="str">
        <f t="shared" ca="1" si="58"/>
        <v/>
      </c>
      <c r="G268" s="589" t="str">
        <f t="shared" ca="1" si="53"/>
        <v/>
      </c>
      <c r="H268" s="589" t="str">
        <f t="shared" ca="1" si="59"/>
        <v/>
      </c>
      <c r="I268" s="589" t="str">
        <f t="shared" ca="1" si="60"/>
        <v/>
      </c>
      <c r="J268" s="589" t="str">
        <f t="shared" ca="1" si="61"/>
        <v/>
      </c>
      <c r="K268" s="589" t="str">
        <f t="shared" ca="1" si="62"/>
        <v/>
      </c>
      <c r="L268" s="589" t="str">
        <f t="shared" ca="1" si="63"/>
        <v/>
      </c>
      <c r="M268" s="588" t="str">
        <f t="shared" ca="1" si="54"/>
        <v/>
      </c>
      <c r="N268" s="588" t="str">
        <f t="shared" ca="1" si="55"/>
        <v/>
      </c>
      <c r="O268" s="667" t="str">
        <f t="shared" ca="1" si="64"/>
        <v/>
      </c>
      <c r="Q268" s="1222"/>
    </row>
    <row r="269" spans="2:17" x14ac:dyDescent="0.4">
      <c r="B269" s="130"/>
      <c r="C269" s="636">
        <v>9</v>
      </c>
      <c r="D269" s="589" t="str">
        <f t="shared" ca="1" si="56"/>
        <v/>
      </c>
      <c r="E269" s="589" t="str">
        <f t="shared" ca="1" si="57"/>
        <v/>
      </c>
      <c r="F269" s="589" t="str">
        <f t="shared" ca="1" si="58"/>
        <v/>
      </c>
      <c r="G269" s="589" t="str">
        <f t="shared" ca="1" si="53"/>
        <v/>
      </c>
      <c r="H269" s="589" t="str">
        <f t="shared" ca="1" si="59"/>
        <v/>
      </c>
      <c r="I269" s="589" t="str">
        <f t="shared" ca="1" si="60"/>
        <v/>
      </c>
      <c r="J269" s="589" t="str">
        <f t="shared" ca="1" si="61"/>
        <v/>
      </c>
      <c r="K269" s="589" t="str">
        <f t="shared" ca="1" si="62"/>
        <v/>
      </c>
      <c r="L269" s="589" t="str">
        <f t="shared" ca="1" si="63"/>
        <v/>
      </c>
      <c r="M269" s="588" t="str">
        <f t="shared" ca="1" si="54"/>
        <v/>
      </c>
      <c r="N269" s="588" t="str">
        <f t="shared" ca="1" si="55"/>
        <v/>
      </c>
      <c r="O269" s="667" t="str">
        <f t="shared" ca="1" si="64"/>
        <v/>
      </c>
      <c r="Q269" s="1222"/>
    </row>
    <row r="270" spans="2:17" x14ac:dyDescent="0.4">
      <c r="B270" s="130"/>
      <c r="C270" s="636">
        <v>10</v>
      </c>
      <c r="D270" s="589" t="str">
        <f t="shared" ca="1" si="56"/>
        <v/>
      </c>
      <c r="E270" s="589" t="str">
        <f t="shared" ca="1" si="57"/>
        <v/>
      </c>
      <c r="F270" s="589" t="str">
        <f t="shared" ca="1" si="58"/>
        <v/>
      </c>
      <c r="G270" s="589" t="str">
        <f t="shared" ca="1" si="53"/>
        <v/>
      </c>
      <c r="H270" s="589" t="str">
        <f t="shared" ca="1" si="59"/>
        <v/>
      </c>
      <c r="I270" s="589" t="str">
        <f t="shared" ca="1" si="60"/>
        <v/>
      </c>
      <c r="J270" s="589" t="str">
        <f t="shared" ca="1" si="61"/>
        <v/>
      </c>
      <c r="K270" s="589" t="str">
        <f t="shared" ca="1" si="62"/>
        <v/>
      </c>
      <c r="L270" s="589" t="str">
        <f t="shared" ca="1" si="63"/>
        <v/>
      </c>
      <c r="M270" s="588" t="str">
        <f t="shared" ca="1" si="54"/>
        <v/>
      </c>
      <c r="N270" s="588" t="str">
        <f t="shared" ca="1" si="55"/>
        <v/>
      </c>
      <c r="O270" s="667" t="str">
        <f t="shared" ca="1" si="64"/>
        <v/>
      </c>
      <c r="Q270" s="1222"/>
    </row>
    <row r="271" spans="2:17" x14ac:dyDescent="0.4">
      <c r="B271" s="130"/>
      <c r="C271" s="636">
        <v>11</v>
      </c>
      <c r="D271" s="589" t="str">
        <f t="shared" ca="1" si="56"/>
        <v/>
      </c>
      <c r="E271" s="589" t="str">
        <f t="shared" ca="1" si="57"/>
        <v/>
      </c>
      <c r="F271" s="589" t="str">
        <f t="shared" ca="1" si="58"/>
        <v/>
      </c>
      <c r="G271" s="589" t="str">
        <f t="shared" ca="1" si="53"/>
        <v/>
      </c>
      <c r="H271" s="589" t="str">
        <f t="shared" ca="1" si="59"/>
        <v/>
      </c>
      <c r="I271" s="589" t="str">
        <f t="shared" ca="1" si="60"/>
        <v/>
      </c>
      <c r="J271" s="589" t="str">
        <f t="shared" ca="1" si="61"/>
        <v/>
      </c>
      <c r="K271" s="589" t="str">
        <f t="shared" ca="1" si="62"/>
        <v/>
      </c>
      <c r="L271" s="589" t="str">
        <f t="shared" ca="1" si="63"/>
        <v/>
      </c>
      <c r="M271" s="588" t="str">
        <f t="shared" ca="1" si="54"/>
        <v/>
      </c>
      <c r="N271" s="588" t="str">
        <f t="shared" ca="1" si="55"/>
        <v/>
      </c>
      <c r="O271" s="667" t="str">
        <f t="shared" ca="1" si="64"/>
        <v/>
      </c>
      <c r="Q271" s="1222"/>
    </row>
    <row r="272" spans="2:17" x14ac:dyDescent="0.4">
      <c r="B272" s="130"/>
      <c r="C272" s="636">
        <v>12</v>
      </c>
      <c r="D272" s="589" t="str">
        <f t="shared" ca="1" si="56"/>
        <v/>
      </c>
      <c r="E272" s="589" t="str">
        <f t="shared" ca="1" si="57"/>
        <v/>
      </c>
      <c r="F272" s="589" t="str">
        <f t="shared" ca="1" si="58"/>
        <v/>
      </c>
      <c r="G272" s="589" t="str">
        <f t="shared" ca="1" si="53"/>
        <v/>
      </c>
      <c r="H272" s="589" t="str">
        <f t="shared" ca="1" si="59"/>
        <v/>
      </c>
      <c r="I272" s="589" t="str">
        <f t="shared" ca="1" si="60"/>
        <v/>
      </c>
      <c r="J272" s="589" t="str">
        <f t="shared" ca="1" si="61"/>
        <v/>
      </c>
      <c r="K272" s="589" t="str">
        <f t="shared" ca="1" si="62"/>
        <v/>
      </c>
      <c r="L272" s="589" t="str">
        <f t="shared" ca="1" si="63"/>
        <v/>
      </c>
      <c r="M272" s="588" t="str">
        <f t="shared" ca="1" si="54"/>
        <v/>
      </c>
      <c r="N272" s="588" t="str">
        <f t="shared" ca="1" si="55"/>
        <v/>
      </c>
      <c r="O272" s="667" t="str">
        <f t="shared" ca="1" si="64"/>
        <v/>
      </c>
      <c r="Q272" s="1222"/>
    </row>
    <row r="273" spans="2:17" x14ac:dyDescent="0.4">
      <c r="B273" s="130"/>
      <c r="C273" s="636">
        <v>13</v>
      </c>
      <c r="D273" s="589" t="str">
        <f t="shared" ca="1" si="56"/>
        <v/>
      </c>
      <c r="E273" s="589" t="str">
        <f t="shared" ca="1" si="57"/>
        <v/>
      </c>
      <c r="F273" s="589" t="str">
        <f t="shared" ca="1" si="58"/>
        <v/>
      </c>
      <c r="G273" s="589" t="str">
        <f t="shared" ca="1" si="53"/>
        <v/>
      </c>
      <c r="H273" s="589" t="str">
        <f t="shared" ca="1" si="59"/>
        <v/>
      </c>
      <c r="I273" s="589" t="str">
        <f t="shared" ca="1" si="60"/>
        <v/>
      </c>
      <c r="J273" s="589" t="str">
        <f t="shared" ca="1" si="61"/>
        <v/>
      </c>
      <c r="K273" s="589" t="str">
        <f t="shared" ca="1" si="62"/>
        <v/>
      </c>
      <c r="L273" s="589" t="str">
        <f t="shared" ca="1" si="63"/>
        <v/>
      </c>
      <c r="M273" s="588" t="str">
        <f t="shared" ca="1" si="54"/>
        <v/>
      </c>
      <c r="N273" s="588" t="str">
        <f t="shared" ca="1" si="55"/>
        <v/>
      </c>
      <c r="O273" s="667" t="str">
        <f t="shared" ca="1" si="64"/>
        <v/>
      </c>
      <c r="Q273" s="1222"/>
    </row>
    <row r="274" spans="2:17" x14ac:dyDescent="0.4">
      <c r="B274" s="130"/>
      <c r="C274" s="636">
        <v>14</v>
      </c>
      <c r="D274" s="589" t="str">
        <f t="shared" ca="1" si="56"/>
        <v/>
      </c>
      <c r="E274" s="589" t="str">
        <f t="shared" ca="1" si="57"/>
        <v/>
      </c>
      <c r="F274" s="589" t="str">
        <f t="shared" ca="1" si="58"/>
        <v/>
      </c>
      <c r="G274" s="589" t="str">
        <f t="shared" ca="1" si="53"/>
        <v/>
      </c>
      <c r="H274" s="589" t="str">
        <f t="shared" ca="1" si="59"/>
        <v/>
      </c>
      <c r="I274" s="589" t="str">
        <f t="shared" ca="1" si="60"/>
        <v/>
      </c>
      <c r="J274" s="589" t="str">
        <f t="shared" ca="1" si="61"/>
        <v/>
      </c>
      <c r="K274" s="589" t="str">
        <f t="shared" ca="1" si="62"/>
        <v/>
      </c>
      <c r="L274" s="589" t="str">
        <f t="shared" ca="1" si="63"/>
        <v/>
      </c>
      <c r="M274" s="588" t="str">
        <f t="shared" ca="1" si="54"/>
        <v/>
      </c>
      <c r="N274" s="588" t="str">
        <f t="shared" ca="1" si="55"/>
        <v/>
      </c>
      <c r="O274" s="667" t="str">
        <f t="shared" ca="1" si="64"/>
        <v/>
      </c>
      <c r="Q274" s="1222"/>
    </row>
    <row r="275" spans="2:17" x14ac:dyDescent="0.4">
      <c r="B275" s="130"/>
      <c r="C275" s="636">
        <v>15</v>
      </c>
      <c r="D275" s="589" t="str">
        <f t="shared" ca="1" si="56"/>
        <v/>
      </c>
      <c r="E275" s="589" t="str">
        <f t="shared" ca="1" si="57"/>
        <v/>
      </c>
      <c r="F275" s="589" t="str">
        <f t="shared" ca="1" si="58"/>
        <v/>
      </c>
      <c r="G275" s="589" t="str">
        <f t="shared" ca="1" si="53"/>
        <v/>
      </c>
      <c r="H275" s="589" t="str">
        <f t="shared" ca="1" si="59"/>
        <v/>
      </c>
      <c r="I275" s="589" t="str">
        <f t="shared" ca="1" si="60"/>
        <v/>
      </c>
      <c r="J275" s="589" t="str">
        <f t="shared" ca="1" si="61"/>
        <v/>
      </c>
      <c r="K275" s="589" t="str">
        <f t="shared" ca="1" si="62"/>
        <v/>
      </c>
      <c r="L275" s="589" t="str">
        <f t="shared" ca="1" si="63"/>
        <v/>
      </c>
      <c r="M275" s="588" t="str">
        <f t="shared" ca="1" si="54"/>
        <v/>
      </c>
      <c r="N275" s="588" t="str">
        <f t="shared" ca="1" si="55"/>
        <v/>
      </c>
      <c r="O275" s="667" t="str">
        <f t="shared" ca="1" si="64"/>
        <v/>
      </c>
      <c r="Q275" s="1222"/>
    </row>
    <row r="276" spans="2:17" x14ac:dyDescent="0.4">
      <c r="B276" s="130"/>
      <c r="C276" s="636">
        <v>16</v>
      </c>
      <c r="D276" s="589" t="str">
        <f t="shared" ca="1" si="56"/>
        <v/>
      </c>
      <c r="E276" s="589" t="str">
        <f t="shared" ca="1" si="57"/>
        <v/>
      </c>
      <c r="F276" s="589" t="str">
        <f t="shared" ca="1" si="58"/>
        <v/>
      </c>
      <c r="G276" s="589" t="str">
        <f t="shared" ca="1" si="53"/>
        <v/>
      </c>
      <c r="H276" s="589" t="str">
        <f t="shared" ca="1" si="59"/>
        <v/>
      </c>
      <c r="I276" s="589" t="str">
        <f t="shared" ca="1" si="60"/>
        <v/>
      </c>
      <c r="J276" s="589" t="str">
        <f t="shared" ca="1" si="61"/>
        <v/>
      </c>
      <c r="K276" s="589" t="str">
        <f t="shared" ca="1" si="62"/>
        <v/>
      </c>
      <c r="L276" s="589" t="str">
        <f t="shared" ca="1" si="63"/>
        <v/>
      </c>
      <c r="M276" s="588" t="str">
        <f t="shared" ca="1" si="54"/>
        <v/>
      </c>
      <c r="N276" s="588" t="str">
        <f t="shared" ca="1" si="55"/>
        <v/>
      </c>
      <c r="O276" s="667" t="str">
        <f t="shared" ca="1" si="64"/>
        <v/>
      </c>
      <c r="Q276" s="1222"/>
    </row>
    <row r="277" spans="2:17" x14ac:dyDescent="0.4">
      <c r="B277" s="130"/>
      <c r="C277" s="636">
        <v>17</v>
      </c>
      <c r="D277" s="589" t="str">
        <f t="shared" ca="1" si="56"/>
        <v/>
      </c>
      <c r="E277" s="589" t="str">
        <f t="shared" ca="1" si="57"/>
        <v/>
      </c>
      <c r="F277" s="589" t="str">
        <f t="shared" ca="1" si="58"/>
        <v/>
      </c>
      <c r="G277" s="589" t="str">
        <f t="shared" ca="1" si="53"/>
        <v/>
      </c>
      <c r="H277" s="589" t="str">
        <f t="shared" ca="1" si="59"/>
        <v/>
      </c>
      <c r="I277" s="589" t="str">
        <f t="shared" ca="1" si="60"/>
        <v/>
      </c>
      <c r="J277" s="589" t="str">
        <f t="shared" ca="1" si="61"/>
        <v/>
      </c>
      <c r="K277" s="589" t="str">
        <f t="shared" ca="1" si="62"/>
        <v/>
      </c>
      <c r="L277" s="589" t="str">
        <f t="shared" ca="1" si="63"/>
        <v/>
      </c>
      <c r="M277" s="588" t="str">
        <f t="shared" ca="1" si="54"/>
        <v/>
      </c>
      <c r="N277" s="588" t="str">
        <f t="shared" ca="1" si="55"/>
        <v/>
      </c>
      <c r="O277" s="667" t="str">
        <f t="shared" ca="1" si="64"/>
        <v/>
      </c>
      <c r="Q277" s="1222"/>
    </row>
    <row r="278" spans="2:17" x14ac:dyDescent="0.4">
      <c r="B278" s="130"/>
      <c r="C278" s="636">
        <v>18</v>
      </c>
      <c r="D278" s="589" t="str">
        <f t="shared" ca="1" si="56"/>
        <v/>
      </c>
      <c r="E278" s="589" t="str">
        <f t="shared" ca="1" si="57"/>
        <v/>
      </c>
      <c r="F278" s="589" t="str">
        <f t="shared" ca="1" si="58"/>
        <v/>
      </c>
      <c r="G278" s="589" t="str">
        <f t="shared" ca="1" si="53"/>
        <v/>
      </c>
      <c r="H278" s="589" t="str">
        <f t="shared" ca="1" si="59"/>
        <v/>
      </c>
      <c r="I278" s="589" t="str">
        <f t="shared" ca="1" si="60"/>
        <v/>
      </c>
      <c r="J278" s="589" t="str">
        <f t="shared" ca="1" si="61"/>
        <v/>
      </c>
      <c r="K278" s="589" t="str">
        <f t="shared" ca="1" si="62"/>
        <v/>
      </c>
      <c r="L278" s="589" t="str">
        <f t="shared" ca="1" si="63"/>
        <v/>
      </c>
      <c r="M278" s="588" t="str">
        <f t="shared" ca="1" si="54"/>
        <v/>
      </c>
      <c r="N278" s="588" t="str">
        <f t="shared" ca="1" si="55"/>
        <v/>
      </c>
      <c r="O278" s="667" t="str">
        <f t="shared" ca="1" si="64"/>
        <v/>
      </c>
      <c r="Q278" s="1222"/>
    </row>
    <row r="279" spans="2:17" x14ac:dyDescent="0.4">
      <c r="B279" s="130"/>
      <c r="C279" s="636">
        <v>19</v>
      </c>
      <c r="D279" s="589" t="str">
        <f t="shared" ca="1" si="56"/>
        <v/>
      </c>
      <c r="E279" s="589" t="str">
        <f t="shared" ca="1" si="57"/>
        <v/>
      </c>
      <c r="F279" s="589" t="str">
        <f t="shared" ca="1" si="58"/>
        <v/>
      </c>
      <c r="G279" s="589" t="str">
        <f t="shared" ca="1" si="53"/>
        <v/>
      </c>
      <c r="H279" s="589" t="str">
        <f t="shared" ca="1" si="59"/>
        <v/>
      </c>
      <c r="I279" s="589" t="str">
        <f t="shared" ca="1" si="60"/>
        <v/>
      </c>
      <c r="J279" s="589" t="str">
        <f t="shared" ca="1" si="61"/>
        <v/>
      </c>
      <c r="K279" s="589" t="str">
        <f t="shared" ca="1" si="62"/>
        <v/>
      </c>
      <c r="L279" s="589" t="str">
        <f t="shared" ca="1" si="63"/>
        <v/>
      </c>
      <c r="M279" s="588" t="str">
        <f t="shared" ca="1" si="54"/>
        <v/>
      </c>
      <c r="N279" s="588" t="str">
        <f t="shared" ca="1" si="55"/>
        <v/>
      </c>
      <c r="O279" s="667" t="str">
        <f t="shared" ca="1" si="64"/>
        <v/>
      </c>
      <c r="Q279" s="1222"/>
    </row>
    <row r="280" spans="2:17" x14ac:dyDescent="0.4">
      <c r="B280" s="130"/>
      <c r="C280" s="636">
        <v>20</v>
      </c>
      <c r="D280" s="589" t="str">
        <f t="shared" ca="1" si="56"/>
        <v/>
      </c>
      <c r="E280" s="589" t="str">
        <f t="shared" ca="1" si="57"/>
        <v/>
      </c>
      <c r="F280" s="589" t="str">
        <f t="shared" ca="1" si="58"/>
        <v/>
      </c>
      <c r="G280" s="589" t="str">
        <f t="shared" ca="1" si="53"/>
        <v/>
      </c>
      <c r="H280" s="589" t="str">
        <f t="shared" ca="1" si="59"/>
        <v/>
      </c>
      <c r="I280" s="589" t="str">
        <f t="shared" ca="1" si="60"/>
        <v/>
      </c>
      <c r="J280" s="589" t="str">
        <f t="shared" ca="1" si="61"/>
        <v/>
      </c>
      <c r="K280" s="589" t="str">
        <f t="shared" ca="1" si="62"/>
        <v/>
      </c>
      <c r="L280" s="589" t="str">
        <f t="shared" ca="1" si="63"/>
        <v/>
      </c>
      <c r="M280" s="588" t="str">
        <f t="shared" ca="1" si="54"/>
        <v/>
      </c>
      <c r="N280" s="588" t="str">
        <f t="shared" ca="1" si="55"/>
        <v/>
      </c>
      <c r="O280" s="667" t="str">
        <f t="shared" ca="1" si="64"/>
        <v/>
      </c>
      <c r="Q280" s="1222"/>
    </row>
    <row r="281" spans="2:17" x14ac:dyDescent="0.4">
      <c r="B281" s="130"/>
      <c r="C281" s="636">
        <v>21</v>
      </c>
      <c r="D281" s="589" t="str">
        <f t="shared" ca="1" si="56"/>
        <v/>
      </c>
      <c r="E281" s="589" t="str">
        <f t="shared" ca="1" si="57"/>
        <v/>
      </c>
      <c r="F281" s="589" t="str">
        <f t="shared" ca="1" si="58"/>
        <v/>
      </c>
      <c r="G281" s="589" t="str">
        <f t="shared" ca="1" si="53"/>
        <v/>
      </c>
      <c r="H281" s="589" t="str">
        <f t="shared" ca="1" si="59"/>
        <v/>
      </c>
      <c r="I281" s="589" t="str">
        <f t="shared" ca="1" si="60"/>
        <v/>
      </c>
      <c r="J281" s="589" t="str">
        <f t="shared" ca="1" si="61"/>
        <v/>
      </c>
      <c r="K281" s="589" t="str">
        <f t="shared" ca="1" si="62"/>
        <v/>
      </c>
      <c r="L281" s="589" t="str">
        <f t="shared" ca="1" si="63"/>
        <v/>
      </c>
      <c r="M281" s="588" t="str">
        <f t="shared" ca="1" si="54"/>
        <v/>
      </c>
      <c r="N281" s="588" t="str">
        <f t="shared" ca="1" si="55"/>
        <v/>
      </c>
      <c r="O281" s="667" t="str">
        <f t="shared" ca="1" si="64"/>
        <v/>
      </c>
      <c r="Q281" s="1222"/>
    </row>
    <row r="282" spans="2:17" x14ac:dyDescent="0.4">
      <c r="B282" s="130"/>
      <c r="C282" s="636">
        <v>22</v>
      </c>
      <c r="D282" s="589" t="str">
        <f t="shared" ca="1" si="56"/>
        <v/>
      </c>
      <c r="E282" s="589" t="str">
        <f t="shared" ca="1" si="57"/>
        <v/>
      </c>
      <c r="F282" s="589" t="str">
        <f t="shared" ca="1" si="58"/>
        <v/>
      </c>
      <c r="G282" s="589" t="str">
        <f t="shared" ca="1" si="53"/>
        <v/>
      </c>
      <c r="H282" s="589" t="str">
        <f t="shared" ca="1" si="59"/>
        <v/>
      </c>
      <c r="I282" s="589" t="str">
        <f t="shared" ca="1" si="60"/>
        <v/>
      </c>
      <c r="J282" s="589" t="str">
        <f t="shared" ca="1" si="61"/>
        <v/>
      </c>
      <c r="K282" s="589" t="str">
        <f t="shared" ca="1" si="62"/>
        <v/>
      </c>
      <c r="L282" s="589" t="str">
        <f t="shared" ca="1" si="63"/>
        <v/>
      </c>
      <c r="M282" s="588" t="str">
        <f t="shared" ca="1" si="54"/>
        <v/>
      </c>
      <c r="N282" s="588" t="str">
        <f t="shared" ca="1" si="55"/>
        <v/>
      </c>
      <c r="O282" s="667" t="str">
        <f t="shared" ca="1" si="64"/>
        <v/>
      </c>
      <c r="Q282" s="1222"/>
    </row>
    <row r="283" spans="2:17" x14ac:dyDescent="0.4">
      <c r="B283" s="130"/>
      <c r="C283" s="636">
        <v>23</v>
      </c>
      <c r="D283" s="589" t="str">
        <f t="shared" ca="1" si="56"/>
        <v/>
      </c>
      <c r="E283" s="589" t="str">
        <f t="shared" ca="1" si="57"/>
        <v/>
      </c>
      <c r="F283" s="589" t="str">
        <f t="shared" ca="1" si="58"/>
        <v/>
      </c>
      <c r="G283" s="589" t="str">
        <f t="shared" ca="1" si="53"/>
        <v/>
      </c>
      <c r="H283" s="589" t="str">
        <f t="shared" ca="1" si="59"/>
        <v/>
      </c>
      <c r="I283" s="589" t="str">
        <f t="shared" ca="1" si="60"/>
        <v/>
      </c>
      <c r="J283" s="589" t="str">
        <f t="shared" ca="1" si="61"/>
        <v/>
      </c>
      <c r="K283" s="589" t="str">
        <f t="shared" ca="1" si="62"/>
        <v/>
      </c>
      <c r="L283" s="589" t="str">
        <f t="shared" ca="1" si="63"/>
        <v/>
      </c>
      <c r="M283" s="588" t="str">
        <f t="shared" ca="1" si="54"/>
        <v/>
      </c>
      <c r="N283" s="588" t="str">
        <f t="shared" ca="1" si="55"/>
        <v/>
      </c>
      <c r="O283" s="667" t="str">
        <f t="shared" ca="1" si="64"/>
        <v/>
      </c>
      <c r="Q283" s="1222"/>
    </row>
    <row r="284" spans="2:17" x14ac:dyDescent="0.4">
      <c r="B284" s="130"/>
      <c r="C284" s="636">
        <v>24</v>
      </c>
      <c r="D284" s="589" t="str">
        <f t="shared" ca="1" si="56"/>
        <v/>
      </c>
      <c r="E284" s="589" t="str">
        <f t="shared" ca="1" si="57"/>
        <v/>
      </c>
      <c r="F284" s="589" t="str">
        <f t="shared" ca="1" si="58"/>
        <v/>
      </c>
      <c r="G284" s="589" t="str">
        <f t="shared" ca="1" si="53"/>
        <v/>
      </c>
      <c r="H284" s="589" t="str">
        <f t="shared" ca="1" si="59"/>
        <v/>
      </c>
      <c r="I284" s="589" t="str">
        <f t="shared" ca="1" si="60"/>
        <v/>
      </c>
      <c r="J284" s="589" t="str">
        <f t="shared" ca="1" si="61"/>
        <v/>
      </c>
      <c r="K284" s="589" t="str">
        <f t="shared" ca="1" si="62"/>
        <v/>
      </c>
      <c r="L284" s="589" t="str">
        <f t="shared" ca="1" si="63"/>
        <v/>
      </c>
      <c r="M284" s="588" t="str">
        <f t="shared" ca="1" si="54"/>
        <v/>
      </c>
      <c r="N284" s="588" t="str">
        <f t="shared" ca="1" si="55"/>
        <v/>
      </c>
      <c r="O284" s="667" t="str">
        <f t="shared" ca="1" si="64"/>
        <v/>
      </c>
      <c r="Q284" s="1222"/>
    </row>
    <row r="285" spans="2:17" x14ac:dyDescent="0.4">
      <c r="B285" s="130"/>
      <c r="C285" s="636">
        <v>25</v>
      </c>
      <c r="D285" s="589" t="str">
        <f t="shared" ca="1" si="56"/>
        <v/>
      </c>
      <c r="E285" s="589" t="str">
        <f t="shared" ca="1" si="57"/>
        <v/>
      </c>
      <c r="F285" s="589" t="str">
        <f t="shared" ca="1" si="58"/>
        <v/>
      </c>
      <c r="G285" s="589" t="str">
        <f t="shared" ca="1" si="53"/>
        <v/>
      </c>
      <c r="H285" s="589" t="str">
        <f t="shared" ca="1" si="59"/>
        <v/>
      </c>
      <c r="I285" s="589" t="str">
        <f t="shared" ca="1" si="60"/>
        <v/>
      </c>
      <c r="J285" s="589" t="str">
        <f t="shared" ca="1" si="61"/>
        <v/>
      </c>
      <c r="K285" s="589" t="str">
        <f t="shared" ca="1" si="62"/>
        <v/>
      </c>
      <c r="L285" s="589" t="str">
        <f t="shared" ca="1" si="63"/>
        <v/>
      </c>
      <c r="M285" s="588" t="str">
        <f t="shared" ca="1" si="54"/>
        <v/>
      </c>
      <c r="N285" s="588" t="str">
        <f t="shared" ca="1" si="55"/>
        <v/>
      </c>
      <c r="O285" s="667" t="str">
        <f t="shared" ca="1" si="64"/>
        <v/>
      </c>
      <c r="Q285" s="1222"/>
    </row>
    <row r="286" spans="2:17" x14ac:dyDescent="0.4">
      <c r="B286" s="130"/>
      <c r="C286" s="636">
        <v>26</v>
      </c>
      <c r="D286" s="589" t="str">
        <f t="shared" ca="1" si="56"/>
        <v/>
      </c>
      <c r="E286" s="589" t="str">
        <f t="shared" ca="1" si="57"/>
        <v/>
      </c>
      <c r="F286" s="589" t="str">
        <f t="shared" ca="1" si="58"/>
        <v/>
      </c>
      <c r="G286" s="589" t="str">
        <f t="shared" ca="1" si="53"/>
        <v/>
      </c>
      <c r="H286" s="589" t="str">
        <f t="shared" ca="1" si="59"/>
        <v/>
      </c>
      <c r="I286" s="589" t="str">
        <f t="shared" ca="1" si="60"/>
        <v/>
      </c>
      <c r="J286" s="589" t="str">
        <f t="shared" ca="1" si="61"/>
        <v/>
      </c>
      <c r="K286" s="589" t="str">
        <f t="shared" ca="1" si="62"/>
        <v/>
      </c>
      <c r="L286" s="589" t="str">
        <f t="shared" ca="1" si="63"/>
        <v/>
      </c>
      <c r="M286" s="588" t="str">
        <f t="shared" ca="1" si="54"/>
        <v/>
      </c>
      <c r="N286" s="588" t="str">
        <f t="shared" ca="1" si="55"/>
        <v/>
      </c>
      <c r="O286" s="667" t="str">
        <f t="shared" ca="1" si="64"/>
        <v/>
      </c>
      <c r="Q286" s="1222"/>
    </row>
    <row r="287" spans="2:17" x14ac:dyDescent="0.4">
      <c r="B287" s="130"/>
      <c r="C287" s="636">
        <v>27</v>
      </c>
      <c r="D287" s="589" t="str">
        <f t="shared" ca="1" si="56"/>
        <v/>
      </c>
      <c r="E287" s="589" t="str">
        <f t="shared" ca="1" si="57"/>
        <v/>
      </c>
      <c r="F287" s="589" t="str">
        <f t="shared" ca="1" si="58"/>
        <v/>
      </c>
      <c r="G287" s="589" t="str">
        <f t="shared" ca="1" si="53"/>
        <v/>
      </c>
      <c r="H287" s="589" t="str">
        <f t="shared" ca="1" si="59"/>
        <v/>
      </c>
      <c r="I287" s="589" t="str">
        <f t="shared" ca="1" si="60"/>
        <v/>
      </c>
      <c r="J287" s="589" t="str">
        <f t="shared" ca="1" si="61"/>
        <v/>
      </c>
      <c r="K287" s="589" t="str">
        <f t="shared" ca="1" si="62"/>
        <v/>
      </c>
      <c r="L287" s="589" t="str">
        <f t="shared" ca="1" si="63"/>
        <v/>
      </c>
      <c r="M287" s="588" t="str">
        <f t="shared" ca="1" si="54"/>
        <v/>
      </c>
      <c r="N287" s="588" t="str">
        <f t="shared" ca="1" si="55"/>
        <v/>
      </c>
      <c r="O287" s="667" t="str">
        <f t="shared" ca="1" si="64"/>
        <v/>
      </c>
      <c r="Q287" s="1222"/>
    </row>
    <row r="288" spans="2:17" x14ac:dyDescent="0.4">
      <c r="B288" s="130"/>
      <c r="C288" s="636">
        <v>28</v>
      </c>
      <c r="D288" s="589" t="str">
        <f t="shared" ca="1" si="56"/>
        <v/>
      </c>
      <c r="E288" s="589" t="str">
        <f t="shared" ca="1" si="57"/>
        <v/>
      </c>
      <c r="F288" s="589" t="str">
        <f t="shared" ca="1" si="58"/>
        <v/>
      </c>
      <c r="G288" s="589" t="str">
        <f t="shared" ca="1" si="53"/>
        <v/>
      </c>
      <c r="H288" s="589" t="str">
        <f t="shared" ca="1" si="59"/>
        <v/>
      </c>
      <c r="I288" s="589" t="str">
        <f t="shared" ca="1" si="60"/>
        <v/>
      </c>
      <c r="J288" s="589" t="str">
        <f t="shared" ca="1" si="61"/>
        <v/>
      </c>
      <c r="K288" s="589" t="str">
        <f t="shared" ca="1" si="62"/>
        <v/>
      </c>
      <c r="L288" s="589" t="str">
        <f t="shared" ca="1" si="63"/>
        <v/>
      </c>
      <c r="M288" s="588" t="str">
        <f t="shared" ca="1" si="54"/>
        <v/>
      </c>
      <c r="N288" s="588" t="str">
        <f t="shared" ca="1" si="55"/>
        <v/>
      </c>
      <c r="O288" s="667" t="str">
        <f t="shared" ca="1" si="64"/>
        <v/>
      </c>
      <c r="Q288" s="1222"/>
    </row>
    <row r="289" spans="2:17" x14ac:dyDescent="0.4">
      <c r="B289" s="130"/>
      <c r="C289" s="636">
        <v>29</v>
      </c>
      <c r="D289" s="589" t="str">
        <f t="shared" ca="1" si="56"/>
        <v/>
      </c>
      <c r="E289" s="589" t="str">
        <f t="shared" ca="1" si="57"/>
        <v/>
      </c>
      <c r="F289" s="589" t="str">
        <f t="shared" ca="1" si="58"/>
        <v/>
      </c>
      <c r="G289" s="589" t="str">
        <f t="shared" ca="1" si="53"/>
        <v/>
      </c>
      <c r="H289" s="589" t="str">
        <f t="shared" ca="1" si="59"/>
        <v/>
      </c>
      <c r="I289" s="589" t="str">
        <f t="shared" ca="1" si="60"/>
        <v/>
      </c>
      <c r="J289" s="589" t="str">
        <f t="shared" ca="1" si="61"/>
        <v/>
      </c>
      <c r="K289" s="589" t="str">
        <f t="shared" ca="1" si="62"/>
        <v/>
      </c>
      <c r="L289" s="589" t="str">
        <f t="shared" ca="1" si="63"/>
        <v/>
      </c>
      <c r="M289" s="588" t="str">
        <f t="shared" ca="1" si="54"/>
        <v/>
      </c>
      <c r="N289" s="588" t="str">
        <f t="shared" ca="1" si="55"/>
        <v/>
      </c>
      <c r="O289" s="667" t="str">
        <f t="shared" ca="1" si="64"/>
        <v/>
      </c>
      <c r="Q289" s="1222"/>
    </row>
    <row r="290" spans="2:17" x14ac:dyDescent="0.4">
      <c r="B290" s="130"/>
      <c r="C290" s="636">
        <v>30</v>
      </c>
      <c r="D290" s="589" t="str">
        <f t="shared" ca="1" si="56"/>
        <v/>
      </c>
      <c r="E290" s="589" t="str">
        <f t="shared" ca="1" si="57"/>
        <v/>
      </c>
      <c r="F290" s="589" t="str">
        <f t="shared" ca="1" si="58"/>
        <v/>
      </c>
      <c r="G290" s="589" t="str">
        <f t="shared" ca="1" si="53"/>
        <v/>
      </c>
      <c r="H290" s="589" t="str">
        <f t="shared" ca="1" si="59"/>
        <v/>
      </c>
      <c r="I290" s="589" t="str">
        <f t="shared" ca="1" si="60"/>
        <v/>
      </c>
      <c r="J290" s="589" t="str">
        <f t="shared" ca="1" si="61"/>
        <v/>
      </c>
      <c r="K290" s="589" t="str">
        <f t="shared" ca="1" si="62"/>
        <v/>
      </c>
      <c r="L290" s="589" t="str">
        <f t="shared" ca="1" si="63"/>
        <v/>
      </c>
      <c r="M290" s="588" t="str">
        <f t="shared" ca="1" si="54"/>
        <v/>
      </c>
      <c r="N290" s="588" t="str">
        <f t="shared" ca="1" si="55"/>
        <v/>
      </c>
      <c r="O290" s="667" t="str">
        <f t="shared" ca="1" si="64"/>
        <v/>
      </c>
      <c r="Q290" s="1222"/>
    </row>
    <row r="291" spans="2:17" x14ac:dyDescent="0.4">
      <c r="B291" s="130"/>
      <c r="C291" s="636">
        <v>31</v>
      </c>
      <c r="D291" s="589" t="str">
        <f t="shared" ca="1" si="56"/>
        <v/>
      </c>
      <c r="E291" s="589" t="str">
        <f t="shared" ca="1" si="57"/>
        <v/>
      </c>
      <c r="F291" s="589" t="str">
        <f t="shared" ca="1" si="58"/>
        <v/>
      </c>
      <c r="G291" s="589" t="str">
        <f t="shared" ca="1" si="53"/>
        <v/>
      </c>
      <c r="H291" s="589" t="str">
        <f t="shared" ca="1" si="59"/>
        <v/>
      </c>
      <c r="I291" s="589" t="str">
        <f t="shared" ca="1" si="60"/>
        <v/>
      </c>
      <c r="J291" s="589" t="str">
        <f t="shared" ca="1" si="61"/>
        <v/>
      </c>
      <c r="K291" s="589" t="str">
        <f t="shared" ca="1" si="62"/>
        <v/>
      </c>
      <c r="L291" s="589" t="str">
        <f t="shared" ca="1" si="63"/>
        <v/>
      </c>
      <c r="M291" s="588" t="str">
        <f t="shared" ca="1" si="54"/>
        <v/>
      </c>
      <c r="N291" s="588" t="str">
        <f t="shared" ca="1" si="55"/>
        <v/>
      </c>
      <c r="O291" s="667" t="str">
        <f t="shared" ca="1" si="64"/>
        <v/>
      </c>
      <c r="Q291" s="1222"/>
    </row>
    <row r="292" spans="2:17" x14ac:dyDescent="0.4">
      <c r="B292" s="130"/>
      <c r="C292" s="636">
        <v>32</v>
      </c>
      <c r="D292" s="589" t="str">
        <f t="shared" ca="1" si="56"/>
        <v/>
      </c>
      <c r="E292" s="589" t="str">
        <f t="shared" ca="1" si="57"/>
        <v/>
      </c>
      <c r="F292" s="589" t="str">
        <f t="shared" ca="1" si="58"/>
        <v/>
      </c>
      <c r="G292" s="589" t="str">
        <f t="shared" ca="1" si="53"/>
        <v/>
      </c>
      <c r="H292" s="589" t="str">
        <f t="shared" ca="1" si="59"/>
        <v/>
      </c>
      <c r="I292" s="589" t="str">
        <f t="shared" ca="1" si="60"/>
        <v/>
      </c>
      <c r="J292" s="589" t="str">
        <f t="shared" ca="1" si="61"/>
        <v/>
      </c>
      <c r="K292" s="589" t="str">
        <f t="shared" ca="1" si="62"/>
        <v/>
      </c>
      <c r="L292" s="589" t="str">
        <f t="shared" ca="1" si="63"/>
        <v/>
      </c>
      <c r="M292" s="588" t="str">
        <f t="shared" ca="1" si="54"/>
        <v/>
      </c>
      <c r="N292" s="588" t="str">
        <f t="shared" ca="1" si="55"/>
        <v/>
      </c>
      <c r="O292" s="667" t="str">
        <f t="shared" ca="1" si="64"/>
        <v/>
      </c>
      <c r="Q292" s="1222"/>
    </row>
    <row r="293" spans="2:17" x14ac:dyDescent="0.4">
      <c r="B293" s="130"/>
      <c r="C293" s="636">
        <v>33</v>
      </c>
      <c r="D293" s="589" t="str">
        <f t="shared" ca="1" si="56"/>
        <v/>
      </c>
      <c r="E293" s="589" t="str">
        <f t="shared" ca="1" si="57"/>
        <v/>
      </c>
      <c r="F293" s="589" t="str">
        <f t="shared" ca="1" si="58"/>
        <v/>
      </c>
      <c r="G293" s="589" t="str">
        <f t="shared" ref="G293:G324" ca="1" si="65">IFERROR(E293+100,"")</f>
        <v/>
      </c>
      <c r="H293" s="589" t="str">
        <f t="shared" ca="1" si="59"/>
        <v/>
      </c>
      <c r="I293" s="589" t="str">
        <f t="shared" ca="1" si="60"/>
        <v/>
      </c>
      <c r="J293" s="589" t="str">
        <f t="shared" ref="J293:J324" ca="1" si="66">IFERROR(($I293+28)^(0.56)/(($I293+530)^(1.19)),"")</f>
        <v/>
      </c>
      <c r="K293" s="589" t="str">
        <f t="shared" ref="K293:K324" ca="1" si="67">IFERROR(I293+100,"")</f>
        <v/>
      </c>
      <c r="L293" s="589" t="str">
        <f t="shared" ref="L293:L324" ca="1" si="68">IFERROR(($I293+128)^(0.56)/(($I293+630)^(1.19)),"")</f>
        <v/>
      </c>
      <c r="M293" s="588" t="str">
        <f t="shared" ref="M293:M324" ca="1" si="69">IFERROR(IF(D293&lt;$C$240,1,
IF(D293&lt;$C$241,SQRT(5/(5+(2.6*(($C$251/$C$250)*SIN((PI()/2-$C$252)*(D293-$C$240)/($C$241-$C$240)))^1.58)/((1-($C$251/$C$250)*SIN((PI()/2-$C$252)*(D293-$C$240)/($C$241-$C$240)))^2))),
$C$253)),"")</f>
        <v/>
      </c>
      <c r="N293" s="588" t="str">
        <f t="shared" ref="N293:N324" ca="1" si="70">IFERROR(IF($C$256*$M293*$C$255&gt;$C$254,$C$254*$C$248/($C$256*$M293*$C$255),$C$248),"")</f>
        <v/>
      </c>
      <c r="O293" s="667" t="str">
        <f t="shared" ref="O293:O324" ca="1" si="71">IFERROR(IF($C$256*$M293*$C$255&gt;$C$254,$C$254*$C$249/($C$256*$M293*$C$255),$C$249),"")</f>
        <v/>
      </c>
      <c r="Q293" s="1222"/>
    </row>
    <row r="294" spans="2:17" x14ac:dyDescent="0.4">
      <c r="B294" s="130"/>
      <c r="C294" s="636">
        <v>34</v>
      </c>
      <c r="D294" s="589" t="str">
        <f t="shared" ca="1" si="56"/>
        <v/>
      </c>
      <c r="E294" s="589" t="str">
        <f t="shared" ca="1" si="57"/>
        <v/>
      </c>
      <c r="F294" s="589" t="str">
        <f t="shared" ca="1" si="58"/>
        <v/>
      </c>
      <c r="G294" s="589" t="str">
        <f t="shared" ca="1" si="65"/>
        <v/>
      </c>
      <c r="H294" s="589" t="str">
        <f t="shared" ca="1" si="59"/>
        <v/>
      </c>
      <c r="I294" s="589" t="str">
        <f t="shared" ca="1" si="60"/>
        <v/>
      </c>
      <c r="J294" s="589" t="str">
        <f t="shared" ca="1" si="66"/>
        <v/>
      </c>
      <c r="K294" s="589" t="str">
        <f t="shared" ca="1" si="67"/>
        <v/>
      </c>
      <c r="L294" s="589" t="str">
        <f t="shared" ca="1" si="68"/>
        <v/>
      </c>
      <c r="M294" s="588" t="str">
        <f t="shared" ca="1" si="69"/>
        <v/>
      </c>
      <c r="N294" s="588" t="str">
        <f t="shared" ca="1" si="70"/>
        <v/>
      </c>
      <c r="O294" s="667" t="str">
        <f t="shared" ca="1" si="71"/>
        <v/>
      </c>
      <c r="Q294" s="1222"/>
    </row>
    <row r="295" spans="2:17" x14ac:dyDescent="0.4">
      <c r="B295" s="130"/>
      <c r="C295" s="636">
        <v>35</v>
      </c>
      <c r="D295" s="589" t="str">
        <f t="shared" ca="1" si="56"/>
        <v/>
      </c>
      <c r="E295" s="589" t="str">
        <f t="shared" ca="1" si="57"/>
        <v/>
      </c>
      <c r="F295" s="589" t="str">
        <f t="shared" ca="1" si="58"/>
        <v/>
      </c>
      <c r="G295" s="589" t="str">
        <f t="shared" ca="1" si="65"/>
        <v/>
      </c>
      <c r="H295" s="589" t="str">
        <f t="shared" ca="1" si="59"/>
        <v/>
      </c>
      <c r="I295" s="589" t="str">
        <f t="shared" ca="1" si="60"/>
        <v/>
      </c>
      <c r="J295" s="589" t="str">
        <f t="shared" ca="1" si="66"/>
        <v/>
      </c>
      <c r="K295" s="589" t="str">
        <f t="shared" ca="1" si="67"/>
        <v/>
      </c>
      <c r="L295" s="589" t="str">
        <f t="shared" ca="1" si="68"/>
        <v/>
      </c>
      <c r="M295" s="588" t="str">
        <f t="shared" ca="1" si="69"/>
        <v/>
      </c>
      <c r="N295" s="588" t="str">
        <f t="shared" ca="1" si="70"/>
        <v/>
      </c>
      <c r="O295" s="667" t="str">
        <f t="shared" ca="1" si="71"/>
        <v/>
      </c>
      <c r="Q295" s="1222"/>
    </row>
    <row r="296" spans="2:17" x14ac:dyDescent="0.4">
      <c r="B296" s="130"/>
      <c r="C296" s="636">
        <v>36</v>
      </c>
      <c r="D296" s="589" t="str">
        <f t="shared" ca="1" si="56"/>
        <v/>
      </c>
      <c r="E296" s="589" t="str">
        <f t="shared" ca="1" si="57"/>
        <v/>
      </c>
      <c r="F296" s="589" t="str">
        <f t="shared" ca="1" si="58"/>
        <v/>
      </c>
      <c r="G296" s="589" t="str">
        <f t="shared" ca="1" si="65"/>
        <v/>
      </c>
      <c r="H296" s="589" t="str">
        <f t="shared" ca="1" si="59"/>
        <v/>
      </c>
      <c r="I296" s="589" t="str">
        <f t="shared" ca="1" si="60"/>
        <v/>
      </c>
      <c r="J296" s="589" t="str">
        <f t="shared" ca="1" si="66"/>
        <v/>
      </c>
      <c r="K296" s="589" t="str">
        <f t="shared" ca="1" si="67"/>
        <v/>
      </c>
      <c r="L296" s="589" t="str">
        <f t="shared" ca="1" si="68"/>
        <v/>
      </c>
      <c r="M296" s="588" t="str">
        <f t="shared" ca="1" si="69"/>
        <v/>
      </c>
      <c r="N296" s="588" t="str">
        <f t="shared" ca="1" si="70"/>
        <v/>
      </c>
      <c r="O296" s="667" t="str">
        <f t="shared" ca="1" si="71"/>
        <v/>
      </c>
      <c r="Q296" s="1222"/>
    </row>
    <row r="297" spans="2:17" x14ac:dyDescent="0.4">
      <c r="B297" s="130"/>
      <c r="C297" s="636">
        <v>37</v>
      </c>
      <c r="D297" s="589" t="str">
        <f t="shared" ca="1" si="56"/>
        <v/>
      </c>
      <c r="E297" s="589" t="str">
        <f t="shared" ca="1" si="57"/>
        <v/>
      </c>
      <c r="F297" s="589" t="str">
        <f t="shared" ca="1" si="58"/>
        <v/>
      </c>
      <c r="G297" s="589" t="str">
        <f t="shared" ca="1" si="65"/>
        <v/>
      </c>
      <c r="H297" s="589" t="str">
        <f t="shared" ca="1" si="59"/>
        <v/>
      </c>
      <c r="I297" s="589" t="str">
        <f t="shared" ca="1" si="60"/>
        <v/>
      </c>
      <c r="J297" s="589" t="str">
        <f t="shared" ca="1" si="66"/>
        <v/>
      </c>
      <c r="K297" s="589" t="str">
        <f t="shared" ca="1" si="67"/>
        <v/>
      </c>
      <c r="L297" s="589" t="str">
        <f t="shared" ca="1" si="68"/>
        <v/>
      </c>
      <c r="M297" s="588" t="str">
        <f t="shared" ca="1" si="69"/>
        <v/>
      </c>
      <c r="N297" s="588" t="str">
        <f t="shared" ca="1" si="70"/>
        <v/>
      </c>
      <c r="O297" s="667" t="str">
        <f t="shared" ca="1" si="71"/>
        <v/>
      </c>
      <c r="Q297" s="1222"/>
    </row>
    <row r="298" spans="2:17" x14ac:dyDescent="0.4">
      <c r="B298" s="130"/>
      <c r="C298" s="636">
        <v>38</v>
      </c>
      <c r="D298" s="589" t="str">
        <f t="shared" ca="1" si="56"/>
        <v/>
      </c>
      <c r="E298" s="589" t="str">
        <f t="shared" ca="1" si="57"/>
        <v/>
      </c>
      <c r="F298" s="589" t="str">
        <f t="shared" ca="1" si="58"/>
        <v/>
      </c>
      <c r="G298" s="589" t="str">
        <f t="shared" ca="1" si="65"/>
        <v/>
      </c>
      <c r="H298" s="589" t="str">
        <f t="shared" ca="1" si="59"/>
        <v/>
      </c>
      <c r="I298" s="589" t="str">
        <f t="shared" ca="1" si="60"/>
        <v/>
      </c>
      <c r="J298" s="589" t="str">
        <f t="shared" ca="1" si="66"/>
        <v/>
      </c>
      <c r="K298" s="589" t="str">
        <f t="shared" ca="1" si="67"/>
        <v/>
      </c>
      <c r="L298" s="589" t="str">
        <f t="shared" ca="1" si="68"/>
        <v/>
      </c>
      <c r="M298" s="588" t="str">
        <f t="shared" ca="1" si="69"/>
        <v/>
      </c>
      <c r="N298" s="588" t="str">
        <f t="shared" ca="1" si="70"/>
        <v/>
      </c>
      <c r="O298" s="667" t="str">
        <f t="shared" ca="1" si="71"/>
        <v/>
      </c>
      <c r="Q298" s="1222"/>
    </row>
    <row r="299" spans="2:17" x14ac:dyDescent="0.4">
      <c r="B299" s="130"/>
      <c r="C299" s="636">
        <v>39</v>
      </c>
      <c r="D299" s="589" t="str">
        <f t="shared" ca="1" si="56"/>
        <v/>
      </c>
      <c r="E299" s="589" t="str">
        <f t="shared" ca="1" si="57"/>
        <v/>
      </c>
      <c r="F299" s="589" t="str">
        <f t="shared" ca="1" si="58"/>
        <v/>
      </c>
      <c r="G299" s="589" t="str">
        <f t="shared" ca="1" si="65"/>
        <v/>
      </c>
      <c r="H299" s="589" t="str">
        <f t="shared" ca="1" si="59"/>
        <v/>
      </c>
      <c r="I299" s="589" t="str">
        <f t="shared" ca="1" si="60"/>
        <v/>
      </c>
      <c r="J299" s="589" t="str">
        <f t="shared" ca="1" si="66"/>
        <v/>
      </c>
      <c r="K299" s="589" t="str">
        <f t="shared" ca="1" si="67"/>
        <v/>
      </c>
      <c r="L299" s="589" t="str">
        <f t="shared" ca="1" si="68"/>
        <v/>
      </c>
      <c r="M299" s="588" t="str">
        <f t="shared" ca="1" si="69"/>
        <v/>
      </c>
      <c r="N299" s="588" t="str">
        <f t="shared" ca="1" si="70"/>
        <v/>
      </c>
      <c r="O299" s="667" t="str">
        <f t="shared" ca="1" si="71"/>
        <v/>
      </c>
      <c r="Q299" s="1222"/>
    </row>
    <row r="300" spans="2:17" x14ac:dyDescent="0.4">
      <c r="B300" s="130"/>
      <c r="C300" s="636">
        <v>40</v>
      </c>
      <c r="D300" s="589" t="str">
        <f t="shared" ca="1" si="56"/>
        <v/>
      </c>
      <c r="E300" s="589" t="str">
        <f t="shared" ca="1" si="57"/>
        <v/>
      </c>
      <c r="F300" s="589" t="str">
        <f t="shared" ca="1" si="58"/>
        <v/>
      </c>
      <c r="G300" s="589" t="str">
        <f t="shared" ca="1" si="65"/>
        <v/>
      </c>
      <c r="H300" s="589" t="str">
        <f t="shared" ca="1" si="59"/>
        <v/>
      </c>
      <c r="I300" s="589" t="str">
        <f t="shared" ca="1" si="60"/>
        <v/>
      </c>
      <c r="J300" s="589" t="str">
        <f t="shared" ca="1" si="66"/>
        <v/>
      </c>
      <c r="K300" s="589" t="str">
        <f t="shared" ca="1" si="67"/>
        <v/>
      </c>
      <c r="L300" s="589" t="str">
        <f t="shared" ca="1" si="68"/>
        <v/>
      </c>
      <c r="M300" s="588" t="str">
        <f t="shared" ca="1" si="69"/>
        <v/>
      </c>
      <c r="N300" s="588" t="str">
        <f t="shared" ca="1" si="70"/>
        <v/>
      </c>
      <c r="O300" s="667" t="str">
        <f t="shared" ca="1" si="71"/>
        <v/>
      </c>
      <c r="Q300" s="1222"/>
    </row>
    <row r="301" spans="2:17" x14ac:dyDescent="0.4">
      <c r="B301" s="130"/>
      <c r="C301" s="636">
        <v>41</v>
      </c>
      <c r="D301" s="589" t="str">
        <f t="shared" ca="1" si="56"/>
        <v/>
      </c>
      <c r="E301" s="589" t="str">
        <f t="shared" ca="1" si="57"/>
        <v/>
      </c>
      <c r="F301" s="589" t="str">
        <f t="shared" ca="1" si="58"/>
        <v/>
      </c>
      <c r="G301" s="589" t="str">
        <f t="shared" ca="1" si="65"/>
        <v/>
      </c>
      <c r="H301" s="589" t="str">
        <f t="shared" ca="1" si="59"/>
        <v/>
      </c>
      <c r="I301" s="589" t="str">
        <f t="shared" ca="1" si="60"/>
        <v/>
      </c>
      <c r="J301" s="589" t="str">
        <f t="shared" ca="1" si="66"/>
        <v/>
      </c>
      <c r="K301" s="589" t="str">
        <f t="shared" ca="1" si="67"/>
        <v/>
      </c>
      <c r="L301" s="589" t="str">
        <f t="shared" ca="1" si="68"/>
        <v/>
      </c>
      <c r="M301" s="588" t="str">
        <f t="shared" ca="1" si="69"/>
        <v/>
      </c>
      <c r="N301" s="588" t="str">
        <f t="shared" ca="1" si="70"/>
        <v/>
      </c>
      <c r="O301" s="667" t="str">
        <f t="shared" ca="1" si="71"/>
        <v/>
      </c>
      <c r="Q301" s="1222"/>
    </row>
    <row r="302" spans="2:17" x14ac:dyDescent="0.4">
      <c r="B302" s="130"/>
      <c r="C302" s="636">
        <v>42</v>
      </c>
      <c r="D302" s="589" t="str">
        <f t="shared" ca="1" si="56"/>
        <v/>
      </c>
      <c r="E302" s="589" t="str">
        <f t="shared" ca="1" si="57"/>
        <v/>
      </c>
      <c r="F302" s="589" t="str">
        <f t="shared" ca="1" si="58"/>
        <v/>
      </c>
      <c r="G302" s="589" t="str">
        <f t="shared" ca="1" si="65"/>
        <v/>
      </c>
      <c r="H302" s="589" t="str">
        <f t="shared" ca="1" si="59"/>
        <v/>
      </c>
      <c r="I302" s="589" t="str">
        <f t="shared" ca="1" si="60"/>
        <v/>
      </c>
      <c r="J302" s="589" t="str">
        <f t="shared" ca="1" si="66"/>
        <v/>
      </c>
      <c r="K302" s="589" t="str">
        <f t="shared" ca="1" si="67"/>
        <v/>
      </c>
      <c r="L302" s="589" t="str">
        <f t="shared" ca="1" si="68"/>
        <v/>
      </c>
      <c r="M302" s="588" t="str">
        <f t="shared" ca="1" si="69"/>
        <v/>
      </c>
      <c r="N302" s="588" t="str">
        <f t="shared" ca="1" si="70"/>
        <v/>
      </c>
      <c r="O302" s="667" t="str">
        <f t="shared" ca="1" si="71"/>
        <v/>
      </c>
      <c r="Q302" s="1222"/>
    </row>
    <row r="303" spans="2:17" x14ac:dyDescent="0.4">
      <c r="B303" s="130"/>
      <c r="C303" s="636">
        <v>43</v>
      </c>
      <c r="D303" s="589" t="str">
        <f t="shared" ca="1" si="56"/>
        <v/>
      </c>
      <c r="E303" s="589" t="str">
        <f t="shared" ca="1" si="57"/>
        <v/>
      </c>
      <c r="F303" s="589" t="str">
        <f t="shared" ca="1" si="58"/>
        <v/>
      </c>
      <c r="G303" s="589" t="str">
        <f t="shared" ca="1" si="65"/>
        <v/>
      </c>
      <c r="H303" s="589" t="str">
        <f t="shared" ca="1" si="59"/>
        <v/>
      </c>
      <c r="I303" s="589" t="str">
        <f t="shared" ca="1" si="60"/>
        <v/>
      </c>
      <c r="J303" s="589" t="str">
        <f t="shared" ca="1" si="66"/>
        <v/>
      </c>
      <c r="K303" s="589" t="str">
        <f t="shared" ca="1" si="67"/>
        <v/>
      </c>
      <c r="L303" s="589" t="str">
        <f t="shared" ca="1" si="68"/>
        <v/>
      </c>
      <c r="M303" s="588" t="str">
        <f t="shared" ca="1" si="69"/>
        <v/>
      </c>
      <c r="N303" s="588" t="str">
        <f t="shared" ca="1" si="70"/>
        <v/>
      </c>
      <c r="O303" s="667" t="str">
        <f t="shared" ca="1" si="71"/>
        <v/>
      </c>
      <c r="Q303" s="1222"/>
    </row>
    <row r="304" spans="2:17" x14ac:dyDescent="0.4">
      <c r="B304" s="130"/>
      <c r="C304" s="636">
        <v>44</v>
      </c>
      <c r="D304" s="589" t="str">
        <f t="shared" ca="1" si="56"/>
        <v/>
      </c>
      <c r="E304" s="589" t="str">
        <f t="shared" ca="1" si="57"/>
        <v/>
      </c>
      <c r="F304" s="589" t="str">
        <f t="shared" ca="1" si="58"/>
        <v/>
      </c>
      <c r="G304" s="589" t="str">
        <f t="shared" ca="1" si="65"/>
        <v/>
      </c>
      <c r="H304" s="589" t="str">
        <f t="shared" ca="1" si="59"/>
        <v/>
      </c>
      <c r="I304" s="589" t="str">
        <f t="shared" ca="1" si="60"/>
        <v/>
      </c>
      <c r="J304" s="589" t="str">
        <f t="shared" ca="1" si="66"/>
        <v/>
      </c>
      <c r="K304" s="589" t="str">
        <f t="shared" ca="1" si="67"/>
        <v/>
      </c>
      <c r="L304" s="589" t="str">
        <f t="shared" ca="1" si="68"/>
        <v/>
      </c>
      <c r="M304" s="588" t="str">
        <f t="shared" ca="1" si="69"/>
        <v/>
      </c>
      <c r="N304" s="588" t="str">
        <f t="shared" ca="1" si="70"/>
        <v/>
      </c>
      <c r="O304" s="667" t="str">
        <f t="shared" ca="1" si="71"/>
        <v/>
      </c>
      <c r="Q304" s="1222"/>
    </row>
    <row r="305" spans="2:17" x14ac:dyDescent="0.4">
      <c r="B305" s="130"/>
      <c r="C305" s="636">
        <v>45</v>
      </c>
      <c r="D305" s="589" t="str">
        <f t="shared" ca="1" si="56"/>
        <v/>
      </c>
      <c r="E305" s="589" t="str">
        <f t="shared" ca="1" si="57"/>
        <v/>
      </c>
      <c r="F305" s="589" t="str">
        <f t="shared" ca="1" si="58"/>
        <v/>
      </c>
      <c r="G305" s="589" t="str">
        <f t="shared" ca="1" si="65"/>
        <v/>
      </c>
      <c r="H305" s="589" t="str">
        <f t="shared" ca="1" si="59"/>
        <v/>
      </c>
      <c r="I305" s="589" t="str">
        <f t="shared" ca="1" si="60"/>
        <v/>
      </c>
      <c r="J305" s="589" t="str">
        <f t="shared" ca="1" si="66"/>
        <v/>
      </c>
      <c r="K305" s="589" t="str">
        <f t="shared" ca="1" si="67"/>
        <v/>
      </c>
      <c r="L305" s="589" t="str">
        <f t="shared" ca="1" si="68"/>
        <v/>
      </c>
      <c r="M305" s="588" t="str">
        <f t="shared" ca="1" si="69"/>
        <v/>
      </c>
      <c r="N305" s="588" t="str">
        <f t="shared" ca="1" si="70"/>
        <v/>
      </c>
      <c r="O305" s="667" t="str">
        <f t="shared" ca="1" si="71"/>
        <v/>
      </c>
      <c r="Q305" s="1222"/>
    </row>
    <row r="306" spans="2:17" x14ac:dyDescent="0.4">
      <c r="B306" s="130"/>
      <c r="C306" s="636">
        <v>46</v>
      </c>
      <c r="D306" s="589" t="str">
        <f t="shared" ca="1" si="56"/>
        <v/>
      </c>
      <c r="E306" s="589" t="str">
        <f t="shared" ca="1" si="57"/>
        <v/>
      </c>
      <c r="F306" s="589" t="str">
        <f t="shared" ca="1" si="58"/>
        <v/>
      </c>
      <c r="G306" s="589" t="str">
        <f t="shared" ca="1" si="65"/>
        <v/>
      </c>
      <c r="H306" s="589" t="str">
        <f t="shared" ca="1" si="59"/>
        <v/>
      </c>
      <c r="I306" s="589" t="str">
        <f t="shared" ca="1" si="60"/>
        <v/>
      </c>
      <c r="J306" s="589" t="str">
        <f t="shared" ca="1" si="66"/>
        <v/>
      </c>
      <c r="K306" s="589" t="str">
        <f t="shared" ca="1" si="67"/>
        <v/>
      </c>
      <c r="L306" s="589" t="str">
        <f t="shared" ca="1" si="68"/>
        <v/>
      </c>
      <c r="M306" s="588" t="str">
        <f t="shared" ca="1" si="69"/>
        <v/>
      </c>
      <c r="N306" s="588" t="str">
        <f t="shared" ca="1" si="70"/>
        <v/>
      </c>
      <c r="O306" s="667" t="str">
        <f t="shared" ca="1" si="71"/>
        <v/>
      </c>
      <c r="Q306" s="1222"/>
    </row>
    <row r="307" spans="2:17" x14ac:dyDescent="0.4">
      <c r="B307" s="130"/>
      <c r="C307" s="636">
        <v>47</v>
      </c>
      <c r="D307" s="589" t="str">
        <f t="shared" ca="1" si="56"/>
        <v/>
      </c>
      <c r="E307" s="589" t="str">
        <f t="shared" ca="1" si="57"/>
        <v/>
      </c>
      <c r="F307" s="589" t="str">
        <f t="shared" ca="1" si="58"/>
        <v/>
      </c>
      <c r="G307" s="589" t="str">
        <f t="shared" ca="1" si="65"/>
        <v/>
      </c>
      <c r="H307" s="589" t="str">
        <f t="shared" ca="1" si="59"/>
        <v/>
      </c>
      <c r="I307" s="589" t="str">
        <f t="shared" ca="1" si="60"/>
        <v/>
      </c>
      <c r="J307" s="589" t="str">
        <f t="shared" ca="1" si="66"/>
        <v/>
      </c>
      <c r="K307" s="589" t="str">
        <f t="shared" ca="1" si="67"/>
        <v/>
      </c>
      <c r="L307" s="589" t="str">
        <f t="shared" ca="1" si="68"/>
        <v/>
      </c>
      <c r="M307" s="588" t="str">
        <f t="shared" ca="1" si="69"/>
        <v/>
      </c>
      <c r="N307" s="588" t="str">
        <f t="shared" ca="1" si="70"/>
        <v/>
      </c>
      <c r="O307" s="667" t="str">
        <f t="shared" ca="1" si="71"/>
        <v/>
      </c>
      <c r="Q307" s="1222"/>
    </row>
    <row r="308" spans="2:17" x14ac:dyDescent="0.4">
      <c r="B308" s="130"/>
      <c r="C308" s="636">
        <v>48</v>
      </c>
      <c r="D308" s="589" t="str">
        <f t="shared" ca="1" si="56"/>
        <v/>
      </c>
      <c r="E308" s="589" t="str">
        <f t="shared" ca="1" si="57"/>
        <v/>
      </c>
      <c r="F308" s="589" t="str">
        <f t="shared" ca="1" si="58"/>
        <v/>
      </c>
      <c r="G308" s="589" t="str">
        <f t="shared" ca="1" si="65"/>
        <v/>
      </c>
      <c r="H308" s="589" t="str">
        <f t="shared" ca="1" si="59"/>
        <v/>
      </c>
      <c r="I308" s="589" t="str">
        <f t="shared" ca="1" si="60"/>
        <v/>
      </c>
      <c r="J308" s="589" t="str">
        <f t="shared" ca="1" si="66"/>
        <v/>
      </c>
      <c r="K308" s="589" t="str">
        <f t="shared" ca="1" si="67"/>
        <v/>
      </c>
      <c r="L308" s="589" t="str">
        <f t="shared" ca="1" si="68"/>
        <v/>
      </c>
      <c r="M308" s="588" t="str">
        <f t="shared" ca="1" si="69"/>
        <v/>
      </c>
      <c r="N308" s="588" t="str">
        <f t="shared" ca="1" si="70"/>
        <v/>
      </c>
      <c r="O308" s="667" t="str">
        <f t="shared" ca="1" si="71"/>
        <v/>
      </c>
      <c r="Q308" s="1222"/>
    </row>
    <row r="309" spans="2:17" x14ac:dyDescent="0.4">
      <c r="B309" s="130"/>
      <c r="C309" s="636">
        <v>49</v>
      </c>
      <c r="D309" s="589" t="str">
        <f t="shared" ca="1" si="56"/>
        <v/>
      </c>
      <c r="E309" s="589" t="str">
        <f t="shared" ca="1" si="57"/>
        <v/>
      </c>
      <c r="F309" s="589" t="str">
        <f t="shared" ca="1" si="58"/>
        <v/>
      </c>
      <c r="G309" s="589" t="str">
        <f t="shared" ca="1" si="65"/>
        <v/>
      </c>
      <c r="H309" s="589" t="str">
        <f t="shared" ca="1" si="59"/>
        <v/>
      </c>
      <c r="I309" s="589" t="str">
        <f t="shared" ca="1" si="60"/>
        <v/>
      </c>
      <c r="J309" s="589" t="str">
        <f t="shared" ca="1" si="66"/>
        <v/>
      </c>
      <c r="K309" s="589" t="str">
        <f t="shared" ca="1" si="67"/>
        <v/>
      </c>
      <c r="L309" s="589" t="str">
        <f t="shared" ca="1" si="68"/>
        <v/>
      </c>
      <c r="M309" s="588" t="str">
        <f t="shared" ca="1" si="69"/>
        <v/>
      </c>
      <c r="N309" s="588" t="str">
        <f t="shared" ca="1" si="70"/>
        <v/>
      </c>
      <c r="O309" s="667" t="str">
        <f t="shared" ca="1" si="71"/>
        <v/>
      </c>
      <c r="Q309" s="1222"/>
    </row>
    <row r="310" spans="2:17" x14ac:dyDescent="0.4">
      <c r="B310" s="130"/>
      <c r="C310" s="636">
        <v>50</v>
      </c>
      <c r="D310" s="589" t="str">
        <f t="shared" ca="1" si="56"/>
        <v/>
      </c>
      <c r="E310" s="589" t="str">
        <f t="shared" ca="1" si="57"/>
        <v/>
      </c>
      <c r="F310" s="589" t="str">
        <f t="shared" ca="1" si="58"/>
        <v/>
      </c>
      <c r="G310" s="589" t="str">
        <f t="shared" ca="1" si="65"/>
        <v/>
      </c>
      <c r="H310" s="589" t="str">
        <f t="shared" ca="1" si="59"/>
        <v/>
      </c>
      <c r="I310" s="589" t="str">
        <f t="shared" ca="1" si="60"/>
        <v/>
      </c>
      <c r="J310" s="589" t="str">
        <f t="shared" ca="1" si="66"/>
        <v/>
      </c>
      <c r="K310" s="589" t="str">
        <f t="shared" ca="1" si="67"/>
        <v/>
      </c>
      <c r="L310" s="589" t="str">
        <f t="shared" ca="1" si="68"/>
        <v/>
      </c>
      <c r="M310" s="588" t="str">
        <f t="shared" ca="1" si="69"/>
        <v/>
      </c>
      <c r="N310" s="588" t="str">
        <f t="shared" ca="1" si="70"/>
        <v/>
      </c>
      <c r="O310" s="667" t="str">
        <f t="shared" ca="1" si="71"/>
        <v/>
      </c>
      <c r="Q310" s="1222"/>
    </row>
    <row r="311" spans="2:17" x14ac:dyDescent="0.4">
      <c r="B311" s="130"/>
      <c r="C311" s="636">
        <v>51</v>
      </c>
      <c r="D311" s="589" t="str">
        <f t="shared" ca="1" si="56"/>
        <v/>
      </c>
      <c r="E311" s="589" t="str">
        <f t="shared" ca="1" si="57"/>
        <v/>
      </c>
      <c r="F311" s="589" t="str">
        <f t="shared" ca="1" si="58"/>
        <v/>
      </c>
      <c r="G311" s="589" t="str">
        <f t="shared" ca="1" si="65"/>
        <v/>
      </c>
      <c r="H311" s="589" t="str">
        <f t="shared" ca="1" si="59"/>
        <v/>
      </c>
      <c r="I311" s="589" t="str">
        <f t="shared" ca="1" si="60"/>
        <v/>
      </c>
      <c r="J311" s="589" t="str">
        <f t="shared" ca="1" si="66"/>
        <v/>
      </c>
      <c r="K311" s="589" t="str">
        <f t="shared" ca="1" si="67"/>
        <v/>
      </c>
      <c r="L311" s="589" t="str">
        <f t="shared" ca="1" si="68"/>
        <v/>
      </c>
      <c r="M311" s="588" t="str">
        <f t="shared" ca="1" si="69"/>
        <v/>
      </c>
      <c r="N311" s="588" t="str">
        <f t="shared" ca="1" si="70"/>
        <v/>
      </c>
      <c r="O311" s="667" t="str">
        <f t="shared" ca="1" si="71"/>
        <v/>
      </c>
      <c r="Q311" s="1222"/>
    </row>
    <row r="312" spans="2:17" x14ac:dyDescent="0.4">
      <c r="B312" s="130"/>
      <c r="C312" s="636">
        <v>52</v>
      </c>
      <c r="D312" s="589" t="str">
        <f t="shared" ca="1" si="56"/>
        <v/>
      </c>
      <c r="E312" s="589" t="str">
        <f t="shared" ca="1" si="57"/>
        <v/>
      </c>
      <c r="F312" s="589" t="str">
        <f t="shared" ca="1" si="58"/>
        <v/>
      </c>
      <c r="G312" s="589" t="str">
        <f t="shared" ca="1" si="65"/>
        <v/>
      </c>
      <c r="H312" s="589" t="str">
        <f t="shared" ca="1" si="59"/>
        <v/>
      </c>
      <c r="I312" s="589" t="str">
        <f t="shared" ca="1" si="60"/>
        <v/>
      </c>
      <c r="J312" s="589" t="str">
        <f t="shared" ca="1" si="66"/>
        <v/>
      </c>
      <c r="K312" s="589" t="str">
        <f t="shared" ca="1" si="67"/>
        <v/>
      </c>
      <c r="L312" s="589" t="str">
        <f t="shared" ca="1" si="68"/>
        <v/>
      </c>
      <c r="M312" s="588" t="str">
        <f t="shared" ca="1" si="69"/>
        <v/>
      </c>
      <c r="N312" s="588" t="str">
        <f t="shared" ca="1" si="70"/>
        <v/>
      </c>
      <c r="O312" s="667" t="str">
        <f t="shared" ca="1" si="71"/>
        <v/>
      </c>
      <c r="Q312" s="1222"/>
    </row>
    <row r="313" spans="2:17" x14ac:dyDescent="0.4">
      <c r="B313" s="130"/>
      <c r="C313" s="636">
        <v>53</v>
      </c>
      <c r="D313" s="589" t="str">
        <f t="shared" ca="1" si="56"/>
        <v/>
      </c>
      <c r="E313" s="589" t="str">
        <f t="shared" ca="1" si="57"/>
        <v/>
      </c>
      <c r="F313" s="589" t="str">
        <f t="shared" ca="1" si="58"/>
        <v/>
      </c>
      <c r="G313" s="589" t="str">
        <f t="shared" ca="1" si="65"/>
        <v/>
      </c>
      <c r="H313" s="589" t="str">
        <f t="shared" ca="1" si="59"/>
        <v/>
      </c>
      <c r="I313" s="589" t="str">
        <f t="shared" ca="1" si="60"/>
        <v/>
      </c>
      <c r="J313" s="589" t="str">
        <f t="shared" ca="1" si="66"/>
        <v/>
      </c>
      <c r="K313" s="589" t="str">
        <f t="shared" ca="1" si="67"/>
        <v/>
      </c>
      <c r="L313" s="589" t="str">
        <f t="shared" ca="1" si="68"/>
        <v/>
      </c>
      <c r="M313" s="588" t="str">
        <f t="shared" ca="1" si="69"/>
        <v/>
      </c>
      <c r="N313" s="588" t="str">
        <f t="shared" ca="1" si="70"/>
        <v/>
      </c>
      <c r="O313" s="667" t="str">
        <f t="shared" ca="1" si="71"/>
        <v/>
      </c>
      <c r="Q313" s="1222"/>
    </row>
    <row r="314" spans="2:17" x14ac:dyDescent="0.4">
      <c r="B314" s="130"/>
      <c r="C314" s="636">
        <v>54</v>
      </c>
      <c r="D314" s="589" t="str">
        <f t="shared" ca="1" si="56"/>
        <v/>
      </c>
      <c r="E314" s="589" t="str">
        <f t="shared" ca="1" si="57"/>
        <v/>
      </c>
      <c r="F314" s="589" t="str">
        <f t="shared" ca="1" si="58"/>
        <v/>
      </c>
      <c r="G314" s="589" t="str">
        <f t="shared" ca="1" si="65"/>
        <v/>
      </c>
      <c r="H314" s="589" t="str">
        <f t="shared" ca="1" si="59"/>
        <v/>
      </c>
      <c r="I314" s="589" t="str">
        <f t="shared" ca="1" si="60"/>
        <v/>
      </c>
      <c r="J314" s="589" t="str">
        <f t="shared" ca="1" si="66"/>
        <v/>
      </c>
      <c r="K314" s="589" t="str">
        <f t="shared" ca="1" si="67"/>
        <v/>
      </c>
      <c r="L314" s="589" t="str">
        <f t="shared" ca="1" si="68"/>
        <v/>
      </c>
      <c r="M314" s="588" t="str">
        <f t="shared" ca="1" si="69"/>
        <v/>
      </c>
      <c r="N314" s="588" t="str">
        <f t="shared" ca="1" si="70"/>
        <v/>
      </c>
      <c r="O314" s="667" t="str">
        <f t="shared" ca="1" si="71"/>
        <v/>
      </c>
      <c r="Q314" s="1222"/>
    </row>
    <row r="315" spans="2:17" x14ac:dyDescent="0.4">
      <c r="B315" s="130"/>
      <c r="C315" s="636">
        <v>55</v>
      </c>
      <c r="D315" s="589" t="str">
        <f t="shared" ca="1" si="56"/>
        <v/>
      </c>
      <c r="E315" s="589" t="str">
        <f t="shared" ca="1" si="57"/>
        <v/>
      </c>
      <c r="F315" s="589" t="str">
        <f t="shared" ca="1" si="58"/>
        <v/>
      </c>
      <c r="G315" s="589" t="str">
        <f t="shared" ca="1" si="65"/>
        <v/>
      </c>
      <c r="H315" s="589" t="str">
        <f t="shared" ca="1" si="59"/>
        <v/>
      </c>
      <c r="I315" s="589" t="str">
        <f t="shared" ca="1" si="60"/>
        <v/>
      </c>
      <c r="J315" s="589" t="str">
        <f t="shared" ca="1" si="66"/>
        <v/>
      </c>
      <c r="K315" s="589" t="str">
        <f t="shared" ca="1" si="67"/>
        <v/>
      </c>
      <c r="L315" s="589" t="str">
        <f t="shared" ca="1" si="68"/>
        <v/>
      </c>
      <c r="M315" s="588" t="str">
        <f t="shared" ca="1" si="69"/>
        <v/>
      </c>
      <c r="N315" s="588" t="str">
        <f t="shared" ca="1" si="70"/>
        <v/>
      </c>
      <c r="O315" s="667" t="str">
        <f t="shared" ca="1" si="71"/>
        <v/>
      </c>
      <c r="Q315" s="1222"/>
    </row>
    <row r="316" spans="2:17" x14ac:dyDescent="0.4">
      <c r="B316" s="130"/>
      <c r="C316" s="636">
        <v>56</v>
      </c>
      <c r="D316" s="589" t="str">
        <f t="shared" ca="1" si="56"/>
        <v/>
      </c>
      <c r="E316" s="589" t="str">
        <f t="shared" ca="1" si="57"/>
        <v/>
      </c>
      <c r="F316" s="589" t="str">
        <f t="shared" ca="1" si="58"/>
        <v/>
      </c>
      <c r="G316" s="589" t="str">
        <f t="shared" ca="1" si="65"/>
        <v/>
      </c>
      <c r="H316" s="589" t="str">
        <f t="shared" ca="1" si="59"/>
        <v/>
      </c>
      <c r="I316" s="589" t="str">
        <f t="shared" ca="1" si="60"/>
        <v/>
      </c>
      <c r="J316" s="589" t="str">
        <f t="shared" ca="1" si="66"/>
        <v/>
      </c>
      <c r="K316" s="589" t="str">
        <f t="shared" ca="1" si="67"/>
        <v/>
      </c>
      <c r="L316" s="589" t="str">
        <f t="shared" ca="1" si="68"/>
        <v/>
      </c>
      <c r="M316" s="588" t="str">
        <f t="shared" ca="1" si="69"/>
        <v/>
      </c>
      <c r="N316" s="588" t="str">
        <f t="shared" ca="1" si="70"/>
        <v/>
      </c>
      <c r="O316" s="667" t="str">
        <f t="shared" ca="1" si="71"/>
        <v/>
      </c>
      <c r="Q316" s="1222"/>
    </row>
    <row r="317" spans="2:17" x14ac:dyDescent="0.4">
      <c r="B317" s="130"/>
      <c r="C317" s="636">
        <v>57</v>
      </c>
      <c r="D317" s="589" t="str">
        <f t="shared" ca="1" si="56"/>
        <v/>
      </c>
      <c r="E317" s="589" t="str">
        <f t="shared" ca="1" si="57"/>
        <v/>
      </c>
      <c r="F317" s="589" t="str">
        <f t="shared" ca="1" si="58"/>
        <v/>
      </c>
      <c r="G317" s="589" t="str">
        <f t="shared" ca="1" si="65"/>
        <v/>
      </c>
      <c r="H317" s="589" t="str">
        <f t="shared" ca="1" si="59"/>
        <v/>
      </c>
      <c r="I317" s="589" t="str">
        <f t="shared" ca="1" si="60"/>
        <v/>
      </c>
      <c r="J317" s="589" t="str">
        <f t="shared" ca="1" si="66"/>
        <v/>
      </c>
      <c r="K317" s="589" t="str">
        <f t="shared" ca="1" si="67"/>
        <v/>
      </c>
      <c r="L317" s="589" t="str">
        <f t="shared" ca="1" si="68"/>
        <v/>
      </c>
      <c r="M317" s="588" t="str">
        <f t="shared" ca="1" si="69"/>
        <v/>
      </c>
      <c r="N317" s="588" t="str">
        <f t="shared" ca="1" si="70"/>
        <v/>
      </c>
      <c r="O317" s="667" t="str">
        <f t="shared" ca="1" si="71"/>
        <v/>
      </c>
      <c r="Q317" s="1222"/>
    </row>
    <row r="318" spans="2:17" x14ac:dyDescent="0.4">
      <c r="B318" s="130"/>
      <c r="C318" s="636">
        <v>58</v>
      </c>
      <c r="D318" s="589" t="str">
        <f t="shared" ca="1" si="56"/>
        <v/>
      </c>
      <c r="E318" s="589" t="str">
        <f t="shared" ca="1" si="57"/>
        <v/>
      </c>
      <c r="F318" s="589" t="str">
        <f t="shared" ca="1" si="58"/>
        <v/>
      </c>
      <c r="G318" s="589" t="str">
        <f t="shared" ca="1" si="65"/>
        <v/>
      </c>
      <c r="H318" s="589" t="str">
        <f t="shared" ca="1" si="59"/>
        <v/>
      </c>
      <c r="I318" s="589" t="str">
        <f t="shared" ca="1" si="60"/>
        <v/>
      </c>
      <c r="J318" s="589" t="str">
        <f t="shared" ca="1" si="66"/>
        <v/>
      </c>
      <c r="K318" s="589" t="str">
        <f t="shared" ca="1" si="67"/>
        <v/>
      </c>
      <c r="L318" s="589" t="str">
        <f t="shared" ca="1" si="68"/>
        <v/>
      </c>
      <c r="M318" s="588" t="str">
        <f t="shared" ca="1" si="69"/>
        <v/>
      </c>
      <c r="N318" s="588" t="str">
        <f t="shared" ca="1" si="70"/>
        <v/>
      </c>
      <c r="O318" s="667" t="str">
        <f t="shared" ca="1" si="71"/>
        <v/>
      </c>
      <c r="Q318" s="1222"/>
    </row>
    <row r="319" spans="2:17" x14ac:dyDescent="0.4">
      <c r="B319" s="130"/>
      <c r="C319" s="636">
        <v>59</v>
      </c>
      <c r="D319" s="589" t="str">
        <f t="shared" ca="1" si="56"/>
        <v/>
      </c>
      <c r="E319" s="589" t="str">
        <f t="shared" ca="1" si="57"/>
        <v/>
      </c>
      <c r="F319" s="589" t="str">
        <f t="shared" ca="1" si="58"/>
        <v/>
      </c>
      <c r="G319" s="589" t="str">
        <f t="shared" ca="1" si="65"/>
        <v/>
      </c>
      <c r="H319" s="589" t="str">
        <f t="shared" ca="1" si="59"/>
        <v/>
      </c>
      <c r="I319" s="589" t="str">
        <f t="shared" ca="1" si="60"/>
        <v/>
      </c>
      <c r="J319" s="589" t="str">
        <f t="shared" ca="1" si="66"/>
        <v/>
      </c>
      <c r="K319" s="589" t="str">
        <f t="shared" ca="1" si="67"/>
        <v/>
      </c>
      <c r="L319" s="589" t="str">
        <f t="shared" ca="1" si="68"/>
        <v/>
      </c>
      <c r="M319" s="588" t="str">
        <f t="shared" ca="1" si="69"/>
        <v/>
      </c>
      <c r="N319" s="588" t="str">
        <f t="shared" ca="1" si="70"/>
        <v/>
      </c>
      <c r="O319" s="667" t="str">
        <f t="shared" ca="1" si="71"/>
        <v/>
      </c>
      <c r="Q319" s="1222"/>
    </row>
    <row r="320" spans="2:17" x14ac:dyDescent="0.4">
      <c r="B320" s="130"/>
      <c r="C320" s="636">
        <v>60</v>
      </c>
      <c r="D320" s="589" t="str">
        <f t="shared" ca="1" si="56"/>
        <v/>
      </c>
      <c r="E320" s="589" t="str">
        <f t="shared" ca="1" si="57"/>
        <v/>
      </c>
      <c r="F320" s="589" t="str">
        <f t="shared" ca="1" si="58"/>
        <v/>
      </c>
      <c r="G320" s="589" t="str">
        <f t="shared" ca="1" si="65"/>
        <v/>
      </c>
      <c r="H320" s="589" t="str">
        <f t="shared" ca="1" si="59"/>
        <v/>
      </c>
      <c r="I320" s="589" t="str">
        <f t="shared" ca="1" si="60"/>
        <v/>
      </c>
      <c r="J320" s="589" t="str">
        <f t="shared" ca="1" si="66"/>
        <v/>
      </c>
      <c r="K320" s="589" t="str">
        <f t="shared" ca="1" si="67"/>
        <v/>
      </c>
      <c r="L320" s="589" t="str">
        <f t="shared" ca="1" si="68"/>
        <v/>
      </c>
      <c r="M320" s="588" t="str">
        <f t="shared" ca="1" si="69"/>
        <v/>
      </c>
      <c r="N320" s="588" t="str">
        <f t="shared" ca="1" si="70"/>
        <v/>
      </c>
      <c r="O320" s="667" t="str">
        <f t="shared" ca="1" si="71"/>
        <v/>
      </c>
      <c r="Q320" s="1222"/>
    </row>
    <row r="321" spans="2:17" x14ac:dyDescent="0.4">
      <c r="B321" s="130"/>
      <c r="C321" s="636">
        <v>61</v>
      </c>
      <c r="D321" s="589" t="str">
        <f t="shared" ca="1" si="56"/>
        <v/>
      </c>
      <c r="E321" s="589" t="str">
        <f t="shared" ca="1" si="57"/>
        <v/>
      </c>
      <c r="F321" s="589" t="str">
        <f t="shared" ca="1" si="58"/>
        <v/>
      </c>
      <c r="G321" s="589" t="str">
        <f t="shared" ca="1" si="65"/>
        <v/>
      </c>
      <c r="H321" s="589" t="str">
        <f t="shared" ca="1" si="59"/>
        <v/>
      </c>
      <c r="I321" s="589" t="str">
        <f t="shared" ca="1" si="60"/>
        <v/>
      </c>
      <c r="J321" s="589" t="str">
        <f t="shared" ca="1" si="66"/>
        <v/>
      </c>
      <c r="K321" s="589" t="str">
        <f t="shared" ca="1" si="67"/>
        <v/>
      </c>
      <c r="L321" s="589" t="str">
        <f t="shared" ca="1" si="68"/>
        <v/>
      </c>
      <c r="M321" s="588" t="str">
        <f t="shared" ca="1" si="69"/>
        <v/>
      </c>
      <c r="N321" s="588" t="str">
        <f t="shared" ca="1" si="70"/>
        <v/>
      </c>
      <c r="O321" s="667" t="str">
        <f t="shared" ca="1" si="71"/>
        <v/>
      </c>
      <c r="Q321" s="1222"/>
    </row>
    <row r="322" spans="2:17" x14ac:dyDescent="0.4">
      <c r="B322" s="130"/>
      <c r="C322" s="636">
        <v>62</v>
      </c>
      <c r="D322" s="589" t="str">
        <f t="shared" ca="1" si="56"/>
        <v/>
      </c>
      <c r="E322" s="589" t="str">
        <f t="shared" ca="1" si="57"/>
        <v/>
      </c>
      <c r="F322" s="589" t="str">
        <f t="shared" ca="1" si="58"/>
        <v/>
      </c>
      <c r="G322" s="589" t="str">
        <f t="shared" ca="1" si="65"/>
        <v/>
      </c>
      <c r="H322" s="589" t="str">
        <f t="shared" ca="1" si="59"/>
        <v/>
      </c>
      <c r="I322" s="589" t="str">
        <f t="shared" ca="1" si="60"/>
        <v/>
      </c>
      <c r="J322" s="589" t="str">
        <f t="shared" ca="1" si="66"/>
        <v/>
      </c>
      <c r="K322" s="589" t="str">
        <f t="shared" ca="1" si="67"/>
        <v/>
      </c>
      <c r="L322" s="589" t="str">
        <f t="shared" ca="1" si="68"/>
        <v/>
      </c>
      <c r="M322" s="588" t="str">
        <f t="shared" ca="1" si="69"/>
        <v/>
      </c>
      <c r="N322" s="588" t="str">
        <f t="shared" ca="1" si="70"/>
        <v/>
      </c>
      <c r="O322" s="667" t="str">
        <f t="shared" ca="1" si="71"/>
        <v/>
      </c>
      <c r="Q322" s="1222"/>
    </row>
    <row r="323" spans="2:17" x14ac:dyDescent="0.4">
      <c r="B323" s="130"/>
      <c r="C323" s="636">
        <v>63</v>
      </c>
      <c r="D323" s="589" t="str">
        <f t="shared" ca="1" si="56"/>
        <v/>
      </c>
      <c r="E323" s="589" t="str">
        <f t="shared" ca="1" si="57"/>
        <v/>
      </c>
      <c r="F323" s="589" t="str">
        <f t="shared" ca="1" si="58"/>
        <v/>
      </c>
      <c r="G323" s="589" t="str">
        <f t="shared" ca="1" si="65"/>
        <v/>
      </c>
      <c r="H323" s="589" t="str">
        <f t="shared" ca="1" si="59"/>
        <v/>
      </c>
      <c r="I323" s="589" t="str">
        <f t="shared" ca="1" si="60"/>
        <v/>
      </c>
      <c r="J323" s="589" t="str">
        <f t="shared" ca="1" si="66"/>
        <v/>
      </c>
      <c r="K323" s="589" t="str">
        <f t="shared" ca="1" si="67"/>
        <v/>
      </c>
      <c r="L323" s="589" t="str">
        <f t="shared" ca="1" si="68"/>
        <v/>
      </c>
      <c r="M323" s="588" t="str">
        <f t="shared" ca="1" si="69"/>
        <v/>
      </c>
      <c r="N323" s="588" t="str">
        <f t="shared" ca="1" si="70"/>
        <v/>
      </c>
      <c r="O323" s="667" t="str">
        <f t="shared" ca="1" si="71"/>
        <v/>
      </c>
      <c r="Q323" s="1222"/>
    </row>
    <row r="324" spans="2:17" x14ac:dyDescent="0.4">
      <c r="B324" s="130"/>
      <c r="C324" s="636">
        <v>64</v>
      </c>
      <c r="D324" s="589" t="str">
        <f t="shared" ca="1" si="56"/>
        <v/>
      </c>
      <c r="E324" s="589" t="str">
        <f t="shared" ca="1" si="57"/>
        <v/>
      </c>
      <c r="F324" s="589" t="str">
        <f t="shared" ca="1" si="58"/>
        <v/>
      </c>
      <c r="G324" s="589" t="str">
        <f t="shared" ca="1" si="65"/>
        <v/>
      </c>
      <c r="H324" s="589" t="str">
        <f t="shared" ca="1" si="59"/>
        <v/>
      </c>
      <c r="I324" s="589" t="str">
        <f t="shared" ca="1" si="60"/>
        <v/>
      </c>
      <c r="J324" s="589" t="str">
        <f t="shared" ca="1" si="66"/>
        <v/>
      </c>
      <c r="K324" s="589" t="str">
        <f t="shared" ca="1" si="67"/>
        <v/>
      </c>
      <c r="L324" s="589" t="str">
        <f t="shared" ca="1" si="68"/>
        <v/>
      </c>
      <c r="M324" s="588" t="str">
        <f t="shared" ca="1" si="69"/>
        <v/>
      </c>
      <c r="N324" s="588" t="str">
        <f t="shared" ca="1" si="70"/>
        <v/>
      </c>
      <c r="O324" s="667" t="str">
        <f t="shared" ca="1" si="71"/>
        <v/>
      </c>
      <c r="Q324" s="1222"/>
    </row>
    <row r="325" spans="2:17" x14ac:dyDescent="0.4">
      <c r="B325" s="130"/>
      <c r="C325" s="636">
        <v>65</v>
      </c>
      <c r="D325" s="589" t="str">
        <f t="shared" ca="1" si="56"/>
        <v/>
      </c>
      <c r="E325" s="589" t="str">
        <f t="shared" ca="1" si="57"/>
        <v/>
      </c>
      <c r="F325" s="589" t="str">
        <f t="shared" ca="1" si="58"/>
        <v/>
      </c>
      <c r="G325" s="589" t="str">
        <f t="shared" ref="G325:G360" ca="1" si="72">IFERROR(E325+100,"")</f>
        <v/>
      </c>
      <c r="H325" s="589" t="str">
        <f t="shared" ca="1" si="59"/>
        <v/>
      </c>
      <c r="I325" s="589" t="str">
        <f t="shared" ca="1" si="60"/>
        <v/>
      </c>
      <c r="J325" s="589" t="str">
        <f t="shared" ref="J325:J360" ca="1" si="73">IFERROR(($I325+28)^(0.56)/(($I325+530)^(1.19)),"")</f>
        <v/>
      </c>
      <c r="K325" s="589" t="str">
        <f t="shared" ref="K325:K360" ca="1" si="74">IFERROR(I325+100,"")</f>
        <v/>
      </c>
      <c r="L325" s="589" t="str">
        <f t="shared" ref="L325:L360" ca="1" si="75">IFERROR(($I325+128)^(0.56)/(($I325+630)^(1.19)),"")</f>
        <v/>
      </c>
      <c r="M325" s="588" t="str">
        <f t="shared" ref="M325:M360" ca="1" si="76">IFERROR(IF(D325&lt;$C$240,1,
IF(D325&lt;$C$241,SQRT(5/(5+(2.6*(($C$251/$C$250)*SIN((PI()/2-$C$252)*(D325-$C$240)/($C$241-$C$240)))^1.58)/((1-($C$251/$C$250)*SIN((PI()/2-$C$252)*(D325-$C$240)/($C$241-$C$240)))^2))),
$C$253)),"")</f>
        <v/>
      </c>
      <c r="N325" s="588" t="str">
        <f t="shared" ref="N325:N360" ca="1" si="77">IFERROR(IF($C$256*$M325*$C$255&gt;$C$254,$C$254*$C$248/($C$256*$M325*$C$255),$C$248),"")</f>
        <v/>
      </c>
      <c r="O325" s="667" t="str">
        <f t="shared" ref="O325:O360" ca="1" si="78">IFERROR(IF($C$256*$M325*$C$255&gt;$C$254,$C$254*$C$249/($C$256*$M325*$C$255),$C$249),"")</f>
        <v/>
      </c>
      <c r="Q325" s="1222"/>
    </row>
    <row r="326" spans="2:17" x14ac:dyDescent="0.4">
      <c r="B326" s="130"/>
      <c r="C326" s="636">
        <v>66</v>
      </c>
      <c r="D326" s="589" t="str">
        <f t="shared" ref="D326:D360" ca="1" si="79">IFERROR(C326*$C$245*$C$242,"")</f>
        <v/>
      </c>
      <c r="E326" s="589" t="str">
        <f t="shared" ref="E326:E360" ca="1" si="80">IFERROR($C$247*EXP(-$D326/$C$243),"")</f>
        <v/>
      </c>
      <c r="F326" s="589" t="str">
        <f t="shared" ref="F326:F360" ca="1" si="81">IFERROR(($E326+28)^(0.56)/(($E326+530)^(1.19)),"")</f>
        <v/>
      </c>
      <c r="G326" s="589" t="str">
        <f t="shared" ca="1" si="72"/>
        <v/>
      </c>
      <c r="H326" s="589" t="str">
        <f t="shared" ref="H326:H360" ca="1" si="82">IFERROR(($E326+128)^(0.56)/(($E326+630)^(1.19)),"")</f>
        <v/>
      </c>
      <c r="I326" s="589" t="str">
        <f t="shared" ref="I326:I360" ca="1" si="83">IFERROR($O326*EXP(-$D326/$C$243),"")</f>
        <v/>
      </c>
      <c r="J326" s="589" t="str">
        <f t="shared" ca="1" si="73"/>
        <v/>
      </c>
      <c r="K326" s="589" t="str">
        <f t="shared" ca="1" si="74"/>
        <v/>
      </c>
      <c r="L326" s="589" t="str">
        <f t="shared" ca="1" si="75"/>
        <v/>
      </c>
      <c r="M326" s="588" t="str">
        <f t="shared" ca="1" si="76"/>
        <v/>
      </c>
      <c r="N326" s="588" t="str">
        <f t="shared" ca="1" si="77"/>
        <v/>
      </c>
      <c r="O326" s="667" t="str">
        <f t="shared" ca="1" si="78"/>
        <v/>
      </c>
      <c r="Q326" s="1222"/>
    </row>
    <row r="327" spans="2:17" x14ac:dyDescent="0.4">
      <c r="B327" s="130"/>
      <c r="C327" s="636">
        <v>67</v>
      </c>
      <c r="D327" s="589" t="str">
        <f t="shared" ca="1" si="79"/>
        <v/>
      </c>
      <c r="E327" s="589" t="str">
        <f t="shared" ca="1" si="80"/>
        <v/>
      </c>
      <c r="F327" s="589" t="str">
        <f t="shared" ca="1" si="81"/>
        <v/>
      </c>
      <c r="G327" s="589" t="str">
        <f t="shared" ca="1" si="72"/>
        <v/>
      </c>
      <c r="H327" s="589" t="str">
        <f t="shared" ca="1" si="82"/>
        <v/>
      </c>
      <c r="I327" s="589" t="str">
        <f t="shared" ca="1" si="83"/>
        <v/>
      </c>
      <c r="J327" s="589" t="str">
        <f t="shared" ca="1" si="73"/>
        <v/>
      </c>
      <c r="K327" s="589" t="str">
        <f t="shared" ca="1" si="74"/>
        <v/>
      </c>
      <c r="L327" s="589" t="str">
        <f t="shared" ca="1" si="75"/>
        <v/>
      </c>
      <c r="M327" s="588" t="str">
        <f t="shared" ca="1" si="76"/>
        <v/>
      </c>
      <c r="N327" s="588" t="str">
        <f t="shared" ca="1" si="77"/>
        <v/>
      </c>
      <c r="O327" s="667" t="str">
        <f t="shared" ca="1" si="78"/>
        <v/>
      </c>
      <c r="Q327" s="1222"/>
    </row>
    <row r="328" spans="2:17" x14ac:dyDescent="0.4">
      <c r="B328" s="130"/>
      <c r="C328" s="636">
        <v>68</v>
      </c>
      <c r="D328" s="589" t="str">
        <f t="shared" ca="1" si="79"/>
        <v/>
      </c>
      <c r="E328" s="589" t="str">
        <f t="shared" ca="1" si="80"/>
        <v/>
      </c>
      <c r="F328" s="589" t="str">
        <f t="shared" ca="1" si="81"/>
        <v/>
      </c>
      <c r="G328" s="589" t="str">
        <f t="shared" ca="1" si="72"/>
        <v/>
      </c>
      <c r="H328" s="589" t="str">
        <f t="shared" ca="1" si="82"/>
        <v/>
      </c>
      <c r="I328" s="589" t="str">
        <f t="shared" ca="1" si="83"/>
        <v/>
      </c>
      <c r="J328" s="589" t="str">
        <f t="shared" ca="1" si="73"/>
        <v/>
      </c>
      <c r="K328" s="589" t="str">
        <f t="shared" ca="1" si="74"/>
        <v/>
      </c>
      <c r="L328" s="589" t="str">
        <f t="shared" ca="1" si="75"/>
        <v/>
      </c>
      <c r="M328" s="588" t="str">
        <f t="shared" ca="1" si="76"/>
        <v/>
      </c>
      <c r="N328" s="588" t="str">
        <f t="shared" ca="1" si="77"/>
        <v/>
      </c>
      <c r="O328" s="667" t="str">
        <f t="shared" ca="1" si="78"/>
        <v/>
      </c>
      <c r="Q328" s="1222"/>
    </row>
    <row r="329" spans="2:17" x14ac:dyDescent="0.4">
      <c r="B329" s="130"/>
      <c r="C329" s="636">
        <v>69</v>
      </c>
      <c r="D329" s="589" t="str">
        <f t="shared" ca="1" si="79"/>
        <v/>
      </c>
      <c r="E329" s="589" t="str">
        <f t="shared" ca="1" si="80"/>
        <v/>
      </c>
      <c r="F329" s="589" t="str">
        <f t="shared" ca="1" si="81"/>
        <v/>
      </c>
      <c r="G329" s="589" t="str">
        <f t="shared" ca="1" si="72"/>
        <v/>
      </c>
      <c r="H329" s="589" t="str">
        <f t="shared" ca="1" si="82"/>
        <v/>
      </c>
      <c r="I329" s="589" t="str">
        <f t="shared" ca="1" si="83"/>
        <v/>
      </c>
      <c r="J329" s="589" t="str">
        <f t="shared" ca="1" si="73"/>
        <v/>
      </c>
      <c r="K329" s="589" t="str">
        <f t="shared" ca="1" si="74"/>
        <v/>
      </c>
      <c r="L329" s="589" t="str">
        <f t="shared" ca="1" si="75"/>
        <v/>
      </c>
      <c r="M329" s="588" t="str">
        <f t="shared" ca="1" si="76"/>
        <v/>
      </c>
      <c r="N329" s="588" t="str">
        <f t="shared" ca="1" si="77"/>
        <v/>
      </c>
      <c r="O329" s="667" t="str">
        <f t="shared" ca="1" si="78"/>
        <v/>
      </c>
      <c r="Q329" s="1222"/>
    </row>
    <row r="330" spans="2:17" x14ac:dyDescent="0.4">
      <c r="B330" s="130"/>
      <c r="C330" s="636">
        <v>70</v>
      </c>
      <c r="D330" s="589" t="str">
        <f t="shared" ca="1" si="79"/>
        <v/>
      </c>
      <c r="E330" s="589" t="str">
        <f t="shared" ca="1" si="80"/>
        <v/>
      </c>
      <c r="F330" s="589" t="str">
        <f t="shared" ca="1" si="81"/>
        <v/>
      </c>
      <c r="G330" s="589" t="str">
        <f t="shared" ca="1" si="72"/>
        <v/>
      </c>
      <c r="H330" s="589" t="str">
        <f t="shared" ca="1" si="82"/>
        <v/>
      </c>
      <c r="I330" s="589" t="str">
        <f t="shared" ca="1" si="83"/>
        <v/>
      </c>
      <c r="J330" s="589" t="str">
        <f t="shared" ca="1" si="73"/>
        <v/>
      </c>
      <c r="K330" s="589" t="str">
        <f t="shared" ca="1" si="74"/>
        <v/>
      </c>
      <c r="L330" s="589" t="str">
        <f t="shared" ca="1" si="75"/>
        <v/>
      </c>
      <c r="M330" s="588" t="str">
        <f t="shared" ca="1" si="76"/>
        <v/>
      </c>
      <c r="N330" s="588" t="str">
        <f t="shared" ca="1" si="77"/>
        <v/>
      </c>
      <c r="O330" s="667" t="str">
        <f t="shared" ca="1" si="78"/>
        <v/>
      </c>
      <c r="Q330" s="1222"/>
    </row>
    <row r="331" spans="2:17" x14ac:dyDescent="0.4">
      <c r="B331" s="130"/>
      <c r="C331" s="636">
        <v>71</v>
      </c>
      <c r="D331" s="589" t="str">
        <f t="shared" ca="1" si="79"/>
        <v/>
      </c>
      <c r="E331" s="589" t="str">
        <f t="shared" ca="1" si="80"/>
        <v/>
      </c>
      <c r="F331" s="589" t="str">
        <f t="shared" ca="1" si="81"/>
        <v/>
      </c>
      <c r="G331" s="589" t="str">
        <f t="shared" ca="1" si="72"/>
        <v/>
      </c>
      <c r="H331" s="589" t="str">
        <f t="shared" ca="1" si="82"/>
        <v/>
      </c>
      <c r="I331" s="589" t="str">
        <f t="shared" ca="1" si="83"/>
        <v/>
      </c>
      <c r="J331" s="589" t="str">
        <f t="shared" ca="1" si="73"/>
        <v/>
      </c>
      <c r="K331" s="589" t="str">
        <f t="shared" ca="1" si="74"/>
        <v/>
      </c>
      <c r="L331" s="589" t="str">
        <f t="shared" ca="1" si="75"/>
        <v/>
      </c>
      <c r="M331" s="588" t="str">
        <f t="shared" ca="1" si="76"/>
        <v/>
      </c>
      <c r="N331" s="588" t="str">
        <f t="shared" ca="1" si="77"/>
        <v/>
      </c>
      <c r="O331" s="667" t="str">
        <f t="shared" ca="1" si="78"/>
        <v/>
      </c>
      <c r="Q331" s="1222"/>
    </row>
    <row r="332" spans="2:17" x14ac:dyDescent="0.4">
      <c r="B332" s="130"/>
      <c r="C332" s="636">
        <v>72</v>
      </c>
      <c r="D332" s="589" t="str">
        <f t="shared" ca="1" si="79"/>
        <v/>
      </c>
      <c r="E332" s="589" t="str">
        <f t="shared" ca="1" si="80"/>
        <v/>
      </c>
      <c r="F332" s="589" t="str">
        <f t="shared" ca="1" si="81"/>
        <v/>
      </c>
      <c r="G332" s="589" t="str">
        <f t="shared" ca="1" si="72"/>
        <v/>
      </c>
      <c r="H332" s="589" t="str">
        <f t="shared" ca="1" si="82"/>
        <v/>
      </c>
      <c r="I332" s="589" t="str">
        <f t="shared" ca="1" si="83"/>
        <v/>
      </c>
      <c r="J332" s="589" t="str">
        <f t="shared" ca="1" si="73"/>
        <v/>
      </c>
      <c r="K332" s="589" t="str">
        <f t="shared" ca="1" si="74"/>
        <v/>
      </c>
      <c r="L332" s="589" t="str">
        <f t="shared" ca="1" si="75"/>
        <v/>
      </c>
      <c r="M332" s="588" t="str">
        <f t="shared" ca="1" si="76"/>
        <v/>
      </c>
      <c r="N332" s="588" t="str">
        <f t="shared" ca="1" si="77"/>
        <v/>
      </c>
      <c r="O332" s="667" t="str">
        <f t="shared" ca="1" si="78"/>
        <v/>
      </c>
      <c r="Q332" s="1222"/>
    </row>
    <row r="333" spans="2:17" x14ac:dyDescent="0.4">
      <c r="B333" s="130"/>
      <c r="C333" s="636">
        <v>73</v>
      </c>
      <c r="D333" s="589" t="str">
        <f t="shared" ca="1" si="79"/>
        <v/>
      </c>
      <c r="E333" s="589" t="str">
        <f t="shared" ca="1" si="80"/>
        <v/>
      </c>
      <c r="F333" s="589" t="str">
        <f t="shared" ca="1" si="81"/>
        <v/>
      </c>
      <c r="G333" s="589" t="str">
        <f t="shared" ca="1" si="72"/>
        <v/>
      </c>
      <c r="H333" s="589" t="str">
        <f t="shared" ca="1" si="82"/>
        <v/>
      </c>
      <c r="I333" s="589" t="str">
        <f t="shared" ca="1" si="83"/>
        <v/>
      </c>
      <c r="J333" s="589" t="str">
        <f t="shared" ca="1" si="73"/>
        <v/>
      </c>
      <c r="K333" s="589" t="str">
        <f t="shared" ca="1" si="74"/>
        <v/>
      </c>
      <c r="L333" s="589" t="str">
        <f t="shared" ca="1" si="75"/>
        <v/>
      </c>
      <c r="M333" s="588" t="str">
        <f t="shared" ca="1" si="76"/>
        <v/>
      </c>
      <c r="N333" s="588" t="str">
        <f t="shared" ca="1" si="77"/>
        <v/>
      </c>
      <c r="O333" s="667" t="str">
        <f t="shared" ca="1" si="78"/>
        <v/>
      </c>
      <c r="Q333" s="1222"/>
    </row>
    <row r="334" spans="2:17" x14ac:dyDescent="0.4">
      <c r="B334" s="130"/>
      <c r="C334" s="636">
        <v>74</v>
      </c>
      <c r="D334" s="589" t="str">
        <f t="shared" ca="1" si="79"/>
        <v/>
      </c>
      <c r="E334" s="589" t="str">
        <f t="shared" ca="1" si="80"/>
        <v/>
      </c>
      <c r="F334" s="589" t="str">
        <f t="shared" ca="1" si="81"/>
        <v/>
      </c>
      <c r="G334" s="589" t="str">
        <f t="shared" ca="1" si="72"/>
        <v/>
      </c>
      <c r="H334" s="589" t="str">
        <f t="shared" ca="1" si="82"/>
        <v/>
      </c>
      <c r="I334" s="589" t="str">
        <f t="shared" ca="1" si="83"/>
        <v/>
      </c>
      <c r="J334" s="589" t="str">
        <f t="shared" ca="1" si="73"/>
        <v/>
      </c>
      <c r="K334" s="589" t="str">
        <f t="shared" ca="1" si="74"/>
        <v/>
      </c>
      <c r="L334" s="589" t="str">
        <f t="shared" ca="1" si="75"/>
        <v/>
      </c>
      <c r="M334" s="588" t="str">
        <f t="shared" ca="1" si="76"/>
        <v/>
      </c>
      <c r="N334" s="588" t="str">
        <f t="shared" ca="1" si="77"/>
        <v/>
      </c>
      <c r="O334" s="667" t="str">
        <f t="shared" ca="1" si="78"/>
        <v/>
      </c>
      <c r="Q334" s="1222"/>
    </row>
    <row r="335" spans="2:17" x14ac:dyDescent="0.4">
      <c r="B335" s="130"/>
      <c r="C335" s="636">
        <v>75</v>
      </c>
      <c r="D335" s="589" t="str">
        <f t="shared" ca="1" si="79"/>
        <v/>
      </c>
      <c r="E335" s="589" t="str">
        <f t="shared" ca="1" si="80"/>
        <v/>
      </c>
      <c r="F335" s="589" t="str">
        <f t="shared" ca="1" si="81"/>
        <v/>
      </c>
      <c r="G335" s="589" t="str">
        <f t="shared" ca="1" si="72"/>
        <v/>
      </c>
      <c r="H335" s="589" t="str">
        <f t="shared" ca="1" si="82"/>
        <v/>
      </c>
      <c r="I335" s="589" t="str">
        <f t="shared" ca="1" si="83"/>
        <v/>
      </c>
      <c r="J335" s="589" t="str">
        <f t="shared" ca="1" si="73"/>
        <v/>
      </c>
      <c r="K335" s="589" t="str">
        <f t="shared" ca="1" si="74"/>
        <v/>
      </c>
      <c r="L335" s="589" t="str">
        <f t="shared" ca="1" si="75"/>
        <v/>
      </c>
      <c r="M335" s="588" t="str">
        <f t="shared" ca="1" si="76"/>
        <v/>
      </c>
      <c r="N335" s="588" t="str">
        <f t="shared" ca="1" si="77"/>
        <v/>
      </c>
      <c r="O335" s="667" t="str">
        <f t="shared" ca="1" si="78"/>
        <v/>
      </c>
      <c r="Q335" s="1222"/>
    </row>
    <row r="336" spans="2:17" x14ac:dyDescent="0.4">
      <c r="B336" s="130"/>
      <c r="C336" s="636">
        <v>76</v>
      </c>
      <c r="D336" s="589" t="str">
        <f t="shared" ca="1" si="79"/>
        <v/>
      </c>
      <c r="E336" s="589" t="str">
        <f t="shared" ca="1" si="80"/>
        <v/>
      </c>
      <c r="F336" s="589" t="str">
        <f t="shared" ca="1" si="81"/>
        <v/>
      </c>
      <c r="G336" s="589" t="str">
        <f t="shared" ca="1" si="72"/>
        <v/>
      </c>
      <c r="H336" s="589" t="str">
        <f t="shared" ca="1" si="82"/>
        <v/>
      </c>
      <c r="I336" s="589" t="str">
        <f t="shared" ca="1" si="83"/>
        <v/>
      </c>
      <c r="J336" s="589" t="str">
        <f t="shared" ca="1" si="73"/>
        <v/>
      </c>
      <c r="K336" s="589" t="str">
        <f t="shared" ca="1" si="74"/>
        <v/>
      </c>
      <c r="L336" s="589" t="str">
        <f t="shared" ca="1" si="75"/>
        <v/>
      </c>
      <c r="M336" s="588" t="str">
        <f t="shared" ca="1" si="76"/>
        <v/>
      </c>
      <c r="N336" s="588" t="str">
        <f t="shared" ca="1" si="77"/>
        <v/>
      </c>
      <c r="O336" s="667" t="str">
        <f t="shared" ca="1" si="78"/>
        <v/>
      </c>
      <c r="Q336" s="1222"/>
    </row>
    <row r="337" spans="2:17" x14ac:dyDescent="0.4">
      <c r="B337" s="130"/>
      <c r="C337" s="636">
        <v>77</v>
      </c>
      <c r="D337" s="589" t="str">
        <f t="shared" ca="1" si="79"/>
        <v/>
      </c>
      <c r="E337" s="589" t="str">
        <f t="shared" ca="1" si="80"/>
        <v/>
      </c>
      <c r="F337" s="589" t="str">
        <f t="shared" ca="1" si="81"/>
        <v/>
      </c>
      <c r="G337" s="589" t="str">
        <f t="shared" ca="1" si="72"/>
        <v/>
      </c>
      <c r="H337" s="589" t="str">
        <f t="shared" ca="1" si="82"/>
        <v/>
      </c>
      <c r="I337" s="589" t="str">
        <f t="shared" ca="1" si="83"/>
        <v/>
      </c>
      <c r="J337" s="589" t="str">
        <f t="shared" ca="1" si="73"/>
        <v/>
      </c>
      <c r="K337" s="589" t="str">
        <f t="shared" ca="1" si="74"/>
        <v/>
      </c>
      <c r="L337" s="589" t="str">
        <f t="shared" ca="1" si="75"/>
        <v/>
      </c>
      <c r="M337" s="588" t="str">
        <f t="shared" ca="1" si="76"/>
        <v/>
      </c>
      <c r="N337" s="588" t="str">
        <f t="shared" ca="1" si="77"/>
        <v/>
      </c>
      <c r="O337" s="667" t="str">
        <f t="shared" ca="1" si="78"/>
        <v/>
      </c>
      <c r="Q337" s="1222"/>
    </row>
    <row r="338" spans="2:17" x14ac:dyDescent="0.4">
      <c r="B338" s="130"/>
      <c r="C338" s="636">
        <v>78</v>
      </c>
      <c r="D338" s="589" t="str">
        <f t="shared" ca="1" si="79"/>
        <v/>
      </c>
      <c r="E338" s="589" t="str">
        <f t="shared" ca="1" si="80"/>
        <v/>
      </c>
      <c r="F338" s="589" t="str">
        <f t="shared" ca="1" si="81"/>
        <v/>
      </c>
      <c r="G338" s="589" t="str">
        <f t="shared" ca="1" si="72"/>
        <v/>
      </c>
      <c r="H338" s="589" t="str">
        <f t="shared" ca="1" si="82"/>
        <v/>
      </c>
      <c r="I338" s="589" t="str">
        <f t="shared" ca="1" si="83"/>
        <v/>
      </c>
      <c r="J338" s="589" t="str">
        <f t="shared" ca="1" si="73"/>
        <v/>
      </c>
      <c r="K338" s="589" t="str">
        <f t="shared" ca="1" si="74"/>
        <v/>
      </c>
      <c r="L338" s="589" t="str">
        <f t="shared" ca="1" si="75"/>
        <v/>
      </c>
      <c r="M338" s="588" t="str">
        <f t="shared" ca="1" si="76"/>
        <v/>
      </c>
      <c r="N338" s="588" t="str">
        <f t="shared" ca="1" si="77"/>
        <v/>
      </c>
      <c r="O338" s="667" t="str">
        <f t="shared" ca="1" si="78"/>
        <v/>
      </c>
      <c r="Q338" s="1222"/>
    </row>
    <row r="339" spans="2:17" x14ac:dyDescent="0.4">
      <c r="B339" s="130"/>
      <c r="C339" s="636">
        <v>79</v>
      </c>
      <c r="D339" s="589" t="str">
        <f t="shared" ca="1" si="79"/>
        <v/>
      </c>
      <c r="E339" s="589" t="str">
        <f t="shared" ca="1" si="80"/>
        <v/>
      </c>
      <c r="F339" s="589" t="str">
        <f t="shared" ca="1" si="81"/>
        <v/>
      </c>
      <c r="G339" s="589" t="str">
        <f t="shared" ca="1" si="72"/>
        <v/>
      </c>
      <c r="H339" s="589" t="str">
        <f t="shared" ca="1" si="82"/>
        <v/>
      </c>
      <c r="I339" s="589" t="str">
        <f t="shared" ca="1" si="83"/>
        <v/>
      </c>
      <c r="J339" s="589" t="str">
        <f t="shared" ca="1" si="73"/>
        <v/>
      </c>
      <c r="K339" s="589" t="str">
        <f t="shared" ca="1" si="74"/>
        <v/>
      </c>
      <c r="L339" s="589" t="str">
        <f t="shared" ca="1" si="75"/>
        <v/>
      </c>
      <c r="M339" s="588" t="str">
        <f t="shared" ca="1" si="76"/>
        <v/>
      </c>
      <c r="N339" s="588" t="str">
        <f t="shared" ca="1" si="77"/>
        <v/>
      </c>
      <c r="O339" s="667" t="str">
        <f t="shared" ca="1" si="78"/>
        <v/>
      </c>
      <c r="Q339" s="1222"/>
    </row>
    <row r="340" spans="2:17" x14ac:dyDescent="0.4">
      <c r="B340" s="130"/>
      <c r="C340" s="636">
        <v>80</v>
      </c>
      <c r="D340" s="589" t="str">
        <f t="shared" ca="1" si="79"/>
        <v/>
      </c>
      <c r="E340" s="589" t="str">
        <f t="shared" ca="1" si="80"/>
        <v/>
      </c>
      <c r="F340" s="589" t="str">
        <f t="shared" ca="1" si="81"/>
        <v/>
      </c>
      <c r="G340" s="589" t="str">
        <f t="shared" ca="1" si="72"/>
        <v/>
      </c>
      <c r="H340" s="589" t="str">
        <f t="shared" ca="1" si="82"/>
        <v/>
      </c>
      <c r="I340" s="589" t="str">
        <f t="shared" ca="1" si="83"/>
        <v/>
      </c>
      <c r="J340" s="589" t="str">
        <f t="shared" ca="1" si="73"/>
        <v/>
      </c>
      <c r="K340" s="589" t="str">
        <f t="shared" ca="1" si="74"/>
        <v/>
      </c>
      <c r="L340" s="589" t="str">
        <f t="shared" ca="1" si="75"/>
        <v/>
      </c>
      <c r="M340" s="588" t="str">
        <f t="shared" ca="1" si="76"/>
        <v/>
      </c>
      <c r="N340" s="588" t="str">
        <f t="shared" ca="1" si="77"/>
        <v/>
      </c>
      <c r="O340" s="667" t="str">
        <f t="shared" ca="1" si="78"/>
        <v/>
      </c>
      <c r="Q340" s="1222"/>
    </row>
    <row r="341" spans="2:17" x14ac:dyDescent="0.4">
      <c r="B341" s="130"/>
      <c r="C341" s="636">
        <v>81</v>
      </c>
      <c r="D341" s="589" t="str">
        <f t="shared" ca="1" si="79"/>
        <v/>
      </c>
      <c r="E341" s="589" t="str">
        <f t="shared" ca="1" si="80"/>
        <v/>
      </c>
      <c r="F341" s="589" t="str">
        <f t="shared" ca="1" si="81"/>
        <v/>
      </c>
      <c r="G341" s="589" t="str">
        <f t="shared" ca="1" si="72"/>
        <v/>
      </c>
      <c r="H341" s="589" t="str">
        <f t="shared" ca="1" si="82"/>
        <v/>
      </c>
      <c r="I341" s="589" t="str">
        <f t="shared" ca="1" si="83"/>
        <v/>
      </c>
      <c r="J341" s="589" t="str">
        <f t="shared" ca="1" si="73"/>
        <v/>
      </c>
      <c r="K341" s="589" t="str">
        <f t="shared" ca="1" si="74"/>
        <v/>
      </c>
      <c r="L341" s="589" t="str">
        <f t="shared" ca="1" si="75"/>
        <v/>
      </c>
      <c r="M341" s="588" t="str">
        <f t="shared" ca="1" si="76"/>
        <v/>
      </c>
      <c r="N341" s="588" t="str">
        <f t="shared" ca="1" si="77"/>
        <v/>
      </c>
      <c r="O341" s="667" t="str">
        <f t="shared" ca="1" si="78"/>
        <v/>
      </c>
      <c r="Q341" s="1222"/>
    </row>
    <row r="342" spans="2:17" x14ac:dyDescent="0.4">
      <c r="B342" s="130"/>
      <c r="C342" s="636">
        <v>82</v>
      </c>
      <c r="D342" s="589" t="str">
        <f t="shared" ca="1" si="79"/>
        <v/>
      </c>
      <c r="E342" s="589" t="str">
        <f t="shared" ca="1" si="80"/>
        <v/>
      </c>
      <c r="F342" s="589" t="str">
        <f t="shared" ca="1" si="81"/>
        <v/>
      </c>
      <c r="G342" s="589" t="str">
        <f t="shared" ca="1" si="72"/>
        <v/>
      </c>
      <c r="H342" s="589" t="str">
        <f t="shared" ca="1" si="82"/>
        <v/>
      </c>
      <c r="I342" s="589" t="str">
        <f t="shared" ca="1" si="83"/>
        <v/>
      </c>
      <c r="J342" s="589" t="str">
        <f t="shared" ca="1" si="73"/>
        <v/>
      </c>
      <c r="K342" s="589" t="str">
        <f t="shared" ca="1" si="74"/>
        <v/>
      </c>
      <c r="L342" s="589" t="str">
        <f t="shared" ca="1" si="75"/>
        <v/>
      </c>
      <c r="M342" s="588" t="str">
        <f t="shared" ca="1" si="76"/>
        <v/>
      </c>
      <c r="N342" s="588" t="str">
        <f t="shared" ca="1" si="77"/>
        <v/>
      </c>
      <c r="O342" s="667" t="str">
        <f t="shared" ca="1" si="78"/>
        <v/>
      </c>
      <c r="Q342" s="1222"/>
    </row>
    <row r="343" spans="2:17" x14ac:dyDescent="0.4">
      <c r="B343" s="130"/>
      <c r="C343" s="636">
        <v>83</v>
      </c>
      <c r="D343" s="589" t="str">
        <f t="shared" ca="1" si="79"/>
        <v/>
      </c>
      <c r="E343" s="589" t="str">
        <f t="shared" ca="1" si="80"/>
        <v/>
      </c>
      <c r="F343" s="589" t="str">
        <f t="shared" ca="1" si="81"/>
        <v/>
      </c>
      <c r="G343" s="589" t="str">
        <f t="shared" ca="1" si="72"/>
        <v/>
      </c>
      <c r="H343" s="589" t="str">
        <f t="shared" ca="1" si="82"/>
        <v/>
      </c>
      <c r="I343" s="589" t="str">
        <f t="shared" ca="1" si="83"/>
        <v/>
      </c>
      <c r="J343" s="589" t="str">
        <f t="shared" ca="1" si="73"/>
        <v/>
      </c>
      <c r="K343" s="589" t="str">
        <f t="shared" ca="1" si="74"/>
        <v/>
      </c>
      <c r="L343" s="589" t="str">
        <f t="shared" ca="1" si="75"/>
        <v/>
      </c>
      <c r="M343" s="588" t="str">
        <f t="shared" ca="1" si="76"/>
        <v/>
      </c>
      <c r="N343" s="588" t="str">
        <f t="shared" ca="1" si="77"/>
        <v/>
      </c>
      <c r="O343" s="667" t="str">
        <f t="shared" ca="1" si="78"/>
        <v/>
      </c>
      <c r="Q343" s="1222"/>
    </row>
    <row r="344" spans="2:17" x14ac:dyDescent="0.4">
      <c r="B344" s="130"/>
      <c r="C344" s="636">
        <v>84</v>
      </c>
      <c r="D344" s="589" t="str">
        <f t="shared" ca="1" si="79"/>
        <v/>
      </c>
      <c r="E344" s="589" t="str">
        <f t="shared" ca="1" si="80"/>
        <v/>
      </c>
      <c r="F344" s="589" t="str">
        <f t="shared" ca="1" si="81"/>
        <v/>
      </c>
      <c r="G344" s="589" t="str">
        <f t="shared" ca="1" si="72"/>
        <v/>
      </c>
      <c r="H344" s="589" t="str">
        <f t="shared" ca="1" si="82"/>
        <v/>
      </c>
      <c r="I344" s="589" t="str">
        <f t="shared" ca="1" si="83"/>
        <v/>
      </c>
      <c r="J344" s="589" t="str">
        <f t="shared" ca="1" si="73"/>
        <v/>
      </c>
      <c r="K344" s="589" t="str">
        <f t="shared" ca="1" si="74"/>
        <v/>
      </c>
      <c r="L344" s="589" t="str">
        <f t="shared" ca="1" si="75"/>
        <v/>
      </c>
      <c r="M344" s="588" t="str">
        <f t="shared" ca="1" si="76"/>
        <v/>
      </c>
      <c r="N344" s="588" t="str">
        <f t="shared" ca="1" si="77"/>
        <v/>
      </c>
      <c r="O344" s="667" t="str">
        <f t="shared" ca="1" si="78"/>
        <v/>
      </c>
      <c r="Q344" s="1222"/>
    </row>
    <row r="345" spans="2:17" x14ac:dyDescent="0.4">
      <c r="B345" s="130"/>
      <c r="C345" s="636">
        <v>85</v>
      </c>
      <c r="D345" s="589" t="str">
        <f t="shared" ca="1" si="79"/>
        <v/>
      </c>
      <c r="E345" s="589" t="str">
        <f t="shared" ca="1" si="80"/>
        <v/>
      </c>
      <c r="F345" s="589" t="str">
        <f t="shared" ca="1" si="81"/>
        <v/>
      </c>
      <c r="G345" s="589" t="str">
        <f t="shared" ca="1" si="72"/>
        <v/>
      </c>
      <c r="H345" s="589" t="str">
        <f t="shared" ca="1" si="82"/>
        <v/>
      </c>
      <c r="I345" s="589" t="str">
        <f t="shared" ca="1" si="83"/>
        <v/>
      </c>
      <c r="J345" s="589" t="str">
        <f t="shared" ca="1" si="73"/>
        <v/>
      </c>
      <c r="K345" s="589" t="str">
        <f t="shared" ca="1" si="74"/>
        <v/>
      </c>
      <c r="L345" s="589" t="str">
        <f t="shared" ca="1" si="75"/>
        <v/>
      </c>
      <c r="M345" s="588" t="str">
        <f t="shared" ca="1" si="76"/>
        <v/>
      </c>
      <c r="N345" s="588" t="str">
        <f t="shared" ca="1" si="77"/>
        <v/>
      </c>
      <c r="O345" s="667" t="str">
        <f t="shared" ca="1" si="78"/>
        <v/>
      </c>
      <c r="Q345" s="1222"/>
    </row>
    <row r="346" spans="2:17" x14ac:dyDescent="0.4">
      <c r="B346" s="130"/>
      <c r="C346" s="636">
        <v>86</v>
      </c>
      <c r="D346" s="589" t="str">
        <f t="shared" ca="1" si="79"/>
        <v/>
      </c>
      <c r="E346" s="589" t="str">
        <f t="shared" ca="1" si="80"/>
        <v/>
      </c>
      <c r="F346" s="589" t="str">
        <f t="shared" ca="1" si="81"/>
        <v/>
      </c>
      <c r="G346" s="589" t="str">
        <f t="shared" ca="1" si="72"/>
        <v/>
      </c>
      <c r="H346" s="589" t="str">
        <f t="shared" ca="1" si="82"/>
        <v/>
      </c>
      <c r="I346" s="589" t="str">
        <f t="shared" ca="1" si="83"/>
        <v/>
      </c>
      <c r="J346" s="589" t="str">
        <f t="shared" ca="1" si="73"/>
        <v/>
      </c>
      <c r="K346" s="589" t="str">
        <f t="shared" ca="1" si="74"/>
        <v/>
      </c>
      <c r="L346" s="589" t="str">
        <f t="shared" ca="1" si="75"/>
        <v/>
      </c>
      <c r="M346" s="588" t="str">
        <f t="shared" ca="1" si="76"/>
        <v/>
      </c>
      <c r="N346" s="588" t="str">
        <f t="shared" ca="1" si="77"/>
        <v/>
      </c>
      <c r="O346" s="667" t="str">
        <f t="shared" ca="1" si="78"/>
        <v/>
      </c>
      <c r="Q346" s="1222"/>
    </row>
    <row r="347" spans="2:17" x14ac:dyDescent="0.4">
      <c r="B347" s="130"/>
      <c r="C347" s="636">
        <v>87</v>
      </c>
      <c r="D347" s="589" t="str">
        <f t="shared" ca="1" si="79"/>
        <v/>
      </c>
      <c r="E347" s="589" t="str">
        <f t="shared" ca="1" si="80"/>
        <v/>
      </c>
      <c r="F347" s="589" t="str">
        <f t="shared" ca="1" si="81"/>
        <v/>
      </c>
      <c r="G347" s="589" t="str">
        <f t="shared" ca="1" si="72"/>
        <v/>
      </c>
      <c r="H347" s="589" t="str">
        <f t="shared" ca="1" si="82"/>
        <v/>
      </c>
      <c r="I347" s="589" t="str">
        <f t="shared" ca="1" si="83"/>
        <v/>
      </c>
      <c r="J347" s="589" t="str">
        <f t="shared" ca="1" si="73"/>
        <v/>
      </c>
      <c r="K347" s="589" t="str">
        <f t="shared" ca="1" si="74"/>
        <v/>
      </c>
      <c r="L347" s="589" t="str">
        <f t="shared" ca="1" si="75"/>
        <v/>
      </c>
      <c r="M347" s="588" t="str">
        <f t="shared" ca="1" si="76"/>
        <v/>
      </c>
      <c r="N347" s="588" t="str">
        <f t="shared" ca="1" si="77"/>
        <v/>
      </c>
      <c r="O347" s="667" t="str">
        <f t="shared" ca="1" si="78"/>
        <v/>
      </c>
      <c r="Q347" s="1222"/>
    </row>
    <row r="348" spans="2:17" x14ac:dyDescent="0.4">
      <c r="B348" s="130"/>
      <c r="C348" s="636">
        <v>88</v>
      </c>
      <c r="D348" s="589" t="str">
        <f t="shared" ca="1" si="79"/>
        <v/>
      </c>
      <c r="E348" s="589" t="str">
        <f t="shared" ca="1" si="80"/>
        <v/>
      </c>
      <c r="F348" s="589" t="str">
        <f t="shared" ca="1" si="81"/>
        <v/>
      </c>
      <c r="G348" s="589" t="str">
        <f t="shared" ca="1" si="72"/>
        <v/>
      </c>
      <c r="H348" s="589" t="str">
        <f t="shared" ca="1" si="82"/>
        <v/>
      </c>
      <c r="I348" s="589" t="str">
        <f t="shared" ca="1" si="83"/>
        <v/>
      </c>
      <c r="J348" s="589" t="str">
        <f t="shared" ca="1" si="73"/>
        <v/>
      </c>
      <c r="K348" s="589" t="str">
        <f t="shared" ca="1" si="74"/>
        <v/>
      </c>
      <c r="L348" s="589" t="str">
        <f t="shared" ca="1" si="75"/>
        <v/>
      </c>
      <c r="M348" s="588" t="str">
        <f t="shared" ca="1" si="76"/>
        <v/>
      </c>
      <c r="N348" s="588" t="str">
        <f t="shared" ca="1" si="77"/>
        <v/>
      </c>
      <c r="O348" s="667" t="str">
        <f t="shared" ca="1" si="78"/>
        <v/>
      </c>
      <c r="Q348" s="1222"/>
    </row>
    <row r="349" spans="2:17" x14ac:dyDescent="0.4">
      <c r="B349" s="130"/>
      <c r="C349" s="636">
        <v>89</v>
      </c>
      <c r="D349" s="589" t="str">
        <f t="shared" ca="1" si="79"/>
        <v/>
      </c>
      <c r="E349" s="589" t="str">
        <f t="shared" ca="1" si="80"/>
        <v/>
      </c>
      <c r="F349" s="589" t="str">
        <f t="shared" ca="1" si="81"/>
        <v/>
      </c>
      <c r="G349" s="589" t="str">
        <f t="shared" ca="1" si="72"/>
        <v/>
      </c>
      <c r="H349" s="589" t="str">
        <f t="shared" ca="1" si="82"/>
        <v/>
      </c>
      <c r="I349" s="589" t="str">
        <f t="shared" ca="1" si="83"/>
        <v/>
      </c>
      <c r="J349" s="589" t="str">
        <f t="shared" ca="1" si="73"/>
        <v/>
      </c>
      <c r="K349" s="589" t="str">
        <f t="shared" ca="1" si="74"/>
        <v/>
      </c>
      <c r="L349" s="589" t="str">
        <f t="shared" ca="1" si="75"/>
        <v/>
      </c>
      <c r="M349" s="588" t="str">
        <f t="shared" ca="1" si="76"/>
        <v/>
      </c>
      <c r="N349" s="588" t="str">
        <f t="shared" ca="1" si="77"/>
        <v/>
      </c>
      <c r="O349" s="667" t="str">
        <f t="shared" ca="1" si="78"/>
        <v/>
      </c>
      <c r="Q349" s="1222"/>
    </row>
    <row r="350" spans="2:17" x14ac:dyDescent="0.4">
      <c r="B350" s="130"/>
      <c r="C350" s="636">
        <v>90</v>
      </c>
      <c r="D350" s="589" t="str">
        <f t="shared" ca="1" si="79"/>
        <v/>
      </c>
      <c r="E350" s="589" t="str">
        <f t="shared" ca="1" si="80"/>
        <v/>
      </c>
      <c r="F350" s="589" t="str">
        <f t="shared" ca="1" si="81"/>
        <v/>
      </c>
      <c r="G350" s="589" t="str">
        <f t="shared" ca="1" si="72"/>
        <v/>
      </c>
      <c r="H350" s="589" t="str">
        <f t="shared" ca="1" si="82"/>
        <v/>
      </c>
      <c r="I350" s="589" t="str">
        <f t="shared" ca="1" si="83"/>
        <v/>
      </c>
      <c r="J350" s="589" t="str">
        <f t="shared" ca="1" si="73"/>
        <v/>
      </c>
      <c r="K350" s="589" t="str">
        <f t="shared" ca="1" si="74"/>
        <v/>
      </c>
      <c r="L350" s="589" t="str">
        <f t="shared" ca="1" si="75"/>
        <v/>
      </c>
      <c r="M350" s="588" t="str">
        <f t="shared" ca="1" si="76"/>
        <v/>
      </c>
      <c r="N350" s="588" t="str">
        <f t="shared" ca="1" si="77"/>
        <v/>
      </c>
      <c r="O350" s="667" t="str">
        <f t="shared" ca="1" si="78"/>
        <v/>
      </c>
      <c r="Q350" s="1222"/>
    </row>
    <row r="351" spans="2:17" x14ac:dyDescent="0.4">
      <c r="B351" s="130"/>
      <c r="C351" s="636">
        <v>91</v>
      </c>
      <c r="D351" s="589" t="str">
        <f t="shared" ca="1" si="79"/>
        <v/>
      </c>
      <c r="E351" s="589" t="str">
        <f t="shared" ca="1" si="80"/>
        <v/>
      </c>
      <c r="F351" s="589" t="str">
        <f t="shared" ca="1" si="81"/>
        <v/>
      </c>
      <c r="G351" s="589" t="str">
        <f t="shared" ca="1" si="72"/>
        <v/>
      </c>
      <c r="H351" s="589" t="str">
        <f t="shared" ca="1" si="82"/>
        <v/>
      </c>
      <c r="I351" s="589" t="str">
        <f t="shared" ca="1" si="83"/>
        <v/>
      </c>
      <c r="J351" s="589" t="str">
        <f t="shared" ca="1" si="73"/>
        <v/>
      </c>
      <c r="K351" s="589" t="str">
        <f t="shared" ca="1" si="74"/>
        <v/>
      </c>
      <c r="L351" s="589" t="str">
        <f t="shared" ca="1" si="75"/>
        <v/>
      </c>
      <c r="M351" s="588" t="str">
        <f t="shared" ca="1" si="76"/>
        <v/>
      </c>
      <c r="N351" s="588" t="str">
        <f t="shared" ca="1" si="77"/>
        <v/>
      </c>
      <c r="O351" s="667" t="str">
        <f t="shared" ca="1" si="78"/>
        <v/>
      </c>
      <c r="Q351" s="1222"/>
    </row>
    <row r="352" spans="2:17" x14ac:dyDescent="0.4">
      <c r="B352" s="130"/>
      <c r="C352" s="636">
        <v>92</v>
      </c>
      <c r="D352" s="589" t="str">
        <f t="shared" ca="1" si="79"/>
        <v/>
      </c>
      <c r="E352" s="589" t="str">
        <f t="shared" ca="1" si="80"/>
        <v/>
      </c>
      <c r="F352" s="589" t="str">
        <f t="shared" ca="1" si="81"/>
        <v/>
      </c>
      <c r="G352" s="589" t="str">
        <f t="shared" ca="1" si="72"/>
        <v/>
      </c>
      <c r="H352" s="589" t="str">
        <f t="shared" ca="1" si="82"/>
        <v/>
      </c>
      <c r="I352" s="589" t="str">
        <f t="shared" ca="1" si="83"/>
        <v/>
      </c>
      <c r="J352" s="589" t="str">
        <f t="shared" ca="1" si="73"/>
        <v/>
      </c>
      <c r="K352" s="589" t="str">
        <f t="shared" ca="1" si="74"/>
        <v/>
      </c>
      <c r="L352" s="589" t="str">
        <f t="shared" ca="1" si="75"/>
        <v/>
      </c>
      <c r="M352" s="588" t="str">
        <f t="shared" ca="1" si="76"/>
        <v/>
      </c>
      <c r="N352" s="588" t="str">
        <f t="shared" ca="1" si="77"/>
        <v/>
      </c>
      <c r="O352" s="667" t="str">
        <f t="shared" ca="1" si="78"/>
        <v/>
      </c>
      <c r="Q352" s="1222"/>
    </row>
    <row r="353" spans="2:17" x14ac:dyDescent="0.4">
      <c r="B353" s="130"/>
      <c r="C353" s="636">
        <v>93</v>
      </c>
      <c r="D353" s="589" t="str">
        <f t="shared" ca="1" si="79"/>
        <v/>
      </c>
      <c r="E353" s="589" t="str">
        <f t="shared" ca="1" si="80"/>
        <v/>
      </c>
      <c r="F353" s="589" t="str">
        <f t="shared" ca="1" si="81"/>
        <v/>
      </c>
      <c r="G353" s="589" t="str">
        <f t="shared" ca="1" si="72"/>
        <v/>
      </c>
      <c r="H353" s="589" t="str">
        <f t="shared" ca="1" si="82"/>
        <v/>
      </c>
      <c r="I353" s="589" t="str">
        <f t="shared" ca="1" si="83"/>
        <v/>
      </c>
      <c r="J353" s="589" t="str">
        <f t="shared" ca="1" si="73"/>
        <v/>
      </c>
      <c r="K353" s="589" t="str">
        <f t="shared" ca="1" si="74"/>
        <v/>
      </c>
      <c r="L353" s="589" t="str">
        <f t="shared" ca="1" si="75"/>
        <v/>
      </c>
      <c r="M353" s="588" t="str">
        <f t="shared" ca="1" si="76"/>
        <v/>
      </c>
      <c r="N353" s="588" t="str">
        <f t="shared" ca="1" si="77"/>
        <v/>
      </c>
      <c r="O353" s="667" t="str">
        <f t="shared" ca="1" si="78"/>
        <v/>
      </c>
      <c r="Q353" s="1222"/>
    </row>
    <row r="354" spans="2:17" x14ac:dyDescent="0.4">
      <c r="B354" s="130"/>
      <c r="C354" s="636">
        <v>94</v>
      </c>
      <c r="D354" s="589" t="str">
        <f t="shared" ca="1" si="79"/>
        <v/>
      </c>
      <c r="E354" s="589" t="str">
        <f t="shared" ca="1" si="80"/>
        <v/>
      </c>
      <c r="F354" s="589" t="str">
        <f t="shared" ca="1" si="81"/>
        <v/>
      </c>
      <c r="G354" s="589" t="str">
        <f t="shared" ca="1" si="72"/>
        <v/>
      </c>
      <c r="H354" s="589" t="str">
        <f t="shared" ca="1" si="82"/>
        <v/>
      </c>
      <c r="I354" s="589" t="str">
        <f t="shared" ca="1" si="83"/>
        <v/>
      </c>
      <c r="J354" s="589" t="str">
        <f t="shared" ca="1" si="73"/>
        <v/>
      </c>
      <c r="K354" s="589" t="str">
        <f t="shared" ca="1" si="74"/>
        <v/>
      </c>
      <c r="L354" s="589" t="str">
        <f t="shared" ca="1" si="75"/>
        <v/>
      </c>
      <c r="M354" s="588" t="str">
        <f t="shared" ca="1" si="76"/>
        <v/>
      </c>
      <c r="N354" s="588" t="str">
        <f t="shared" ca="1" si="77"/>
        <v/>
      </c>
      <c r="O354" s="667" t="str">
        <f t="shared" ca="1" si="78"/>
        <v/>
      </c>
      <c r="Q354" s="1222"/>
    </row>
    <row r="355" spans="2:17" x14ac:dyDescent="0.4">
      <c r="B355" s="130"/>
      <c r="C355" s="636">
        <v>95</v>
      </c>
      <c r="D355" s="589" t="str">
        <f t="shared" ca="1" si="79"/>
        <v/>
      </c>
      <c r="E355" s="589" t="str">
        <f t="shared" ca="1" si="80"/>
        <v/>
      </c>
      <c r="F355" s="589" t="str">
        <f t="shared" ca="1" si="81"/>
        <v/>
      </c>
      <c r="G355" s="589" t="str">
        <f t="shared" ca="1" si="72"/>
        <v/>
      </c>
      <c r="H355" s="589" t="str">
        <f t="shared" ca="1" si="82"/>
        <v/>
      </c>
      <c r="I355" s="589" t="str">
        <f t="shared" ca="1" si="83"/>
        <v/>
      </c>
      <c r="J355" s="589" t="str">
        <f t="shared" ca="1" si="73"/>
        <v/>
      </c>
      <c r="K355" s="589" t="str">
        <f t="shared" ca="1" si="74"/>
        <v/>
      </c>
      <c r="L355" s="589" t="str">
        <f t="shared" ca="1" si="75"/>
        <v/>
      </c>
      <c r="M355" s="588" t="str">
        <f t="shared" ca="1" si="76"/>
        <v/>
      </c>
      <c r="N355" s="588" t="str">
        <f t="shared" ca="1" si="77"/>
        <v/>
      </c>
      <c r="O355" s="667" t="str">
        <f t="shared" ca="1" si="78"/>
        <v/>
      </c>
      <c r="Q355" s="1222"/>
    </row>
    <row r="356" spans="2:17" x14ac:dyDescent="0.4">
      <c r="B356" s="130"/>
      <c r="C356" s="636">
        <v>96</v>
      </c>
      <c r="D356" s="589" t="str">
        <f t="shared" ca="1" si="79"/>
        <v/>
      </c>
      <c r="E356" s="589" t="str">
        <f t="shared" ca="1" si="80"/>
        <v/>
      </c>
      <c r="F356" s="589" t="str">
        <f t="shared" ca="1" si="81"/>
        <v/>
      </c>
      <c r="G356" s="589" t="str">
        <f t="shared" ca="1" si="72"/>
        <v/>
      </c>
      <c r="H356" s="589" t="str">
        <f t="shared" ca="1" si="82"/>
        <v/>
      </c>
      <c r="I356" s="589" t="str">
        <f t="shared" ca="1" si="83"/>
        <v/>
      </c>
      <c r="J356" s="589" t="str">
        <f t="shared" ca="1" si="73"/>
        <v/>
      </c>
      <c r="K356" s="589" t="str">
        <f t="shared" ca="1" si="74"/>
        <v/>
      </c>
      <c r="L356" s="589" t="str">
        <f t="shared" ca="1" si="75"/>
        <v/>
      </c>
      <c r="M356" s="588" t="str">
        <f t="shared" ca="1" si="76"/>
        <v/>
      </c>
      <c r="N356" s="588" t="str">
        <f t="shared" ca="1" si="77"/>
        <v/>
      </c>
      <c r="O356" s="667" t="str">
        <f t="shared" ca="1" si="78"/>
        <v/>
      </c>
      <c r="Q356" s="1222"/>
    </row>
    <row r="357" spans="2:17" x14ac:dyDescent="0.4">
      <c r="B357" s="130"/>
      <c r="C357" s="636">
        <v>97</v>
      </c>
      <c r="D357" s="589" t="str">
        <f t="shared" ca="1" si="79"/>
        <v/>
      </c>
      <c r="E357" s="589" t="str">
        <f t="shared" ca="1" si="80"/>
        <v/>
      </c>
      <c r="F357" s="589" t="str">
        <f t="shared" ca="1" si="81"/>
        <v/>
      </c>
      <c r="G357" s="589" t="str">
        <f t="shared" ca="1" si="72"/>
        <v/>
      </c>
      <c r="H357" s="589" t="str">
        <f t="shared" ca="1" si="82"/>
        <v/>
      </c>
      <c r="I357" s="589" t="str">
        <f t="shared" ca="1" si="83"/>
        <v/>
      </c>
      <c r="J357" s="589" t="str">
        <f t="shared" ca="1" si="73"/>
        <v/>
      </c>
      <c r="K357" s="589" t="str">
        <f t="shared" ca="1" si="74"/>
        <v/>
      </c>
      <c r="L357" s="589" t="str">
        <f t="shared" ca="1" si="75"/>
        <v/>
      </c>
      <c r="M357" s="588" t="str">
        <f t="shared" ca="1" si="76"/>
        <v/>
      </c>
      <c r="N357" s="588" t="str">
        <f t="shared" ca="1" si="77"/>
        <v/>
      </c>
      <c r="O357" s="667" t="str">
        <f t="shared" ca="1" si="78"/>
        <v/>
      </c>
      <c r="Q357" s="1222"/>
    </row>
    <row r="358" spans="2:17" x14ac:dyDescent="0.4">
      <c r="B358" s="130"/>
      <c r="C358" s="636">
        <v>98</v>
      </c>
      <c r="D358" s="589" t="str">
        <f t="shared" ca="1" si="79"/>
        <v/>
      </c>
      <c r="E358" s="589" t="str">
        <f t="shared" ca="1" si="80"/>
        <v/>
      </c>
      <c r="F358" s="589" t="str">
        <f t="shared" ca="1" si="81"/>
        <v/>
      </c>
      <c r="G358" s="589" t="str">
        <f t="shared" ca="1" si="72"/>
        <v/>
      </c>
      <c r="H358" s="589" t="str">
        <f t="shared" ca="1" si="82"/>
        <v/>
      </c>
      <c r="I358" s="589" t="str">
        <f t="shared" ca="1" si="83"/>
        <v/>
      </c>
      <c r="J358" s="589" t="str">
        <f t="shared" ca="1" si="73"/>
        <v/>
      </c>
      <c r="K358" s="589" t="str">
        <f t="shared" ca="1" si="74"/>
        <v/>
      </c>
      <c r="L358" s="589" t="str">
        <f t="shared" ca="1" si="75"/>
        <v/>
      </c>
      <c r="M358" s="588" t="str">
        <f t="shared" ca="1" si="76"/>
        <v/>
      </c>
      <c r="N358" s="588" t="str">
        <f t="shared" ca="1" si="77"/>
        <v/>
      </c>
      <c r="O358" s="667" t="str">
        <f t="shared" ca="1" si="78"/>
        <v/>
      </c>
      <c r="Q358" s="1222"/>
    </row>
    <row r="359" spans="2:17" x14ac:dyDescent="0.4">
      <c r="B359" s="130"/>
      <c r="C359" s="636">
        <v>99</v>
      </c>
      <c r="D359" s="589" t="str">
        <f t="shared" ca="1" si="79"/>
        <v/>
      </c>
      <c r="E359" s="589" t="str">
        <f t="shared" ca="1" si="80"/>
        <v/>
      </c>
      <c r="F359" s="589" t="str">
        <f t="shared" ca="1" si="81"/>
        <v/>
      </c>
      <c r="G359" s="589" t="str">
        <f t="shared" ca="1" si="72"/>
        <v/>
      </c>
      <c r="H359" s="589" t="str">
        <f t="shared" ca="1" si="82"/>
        <v/>
      </c>
      <c r="I359" s="589" t="str">
        <f t="shared" ca="1" si="83"/>
        <v/>
      </c>
      <c r="J359" s="589" t="str">
        <f t="shared" ca="1" si="73"/>
        <v/>
      </c>
      <c r="K359" s="589" t="str">
        <f t="shared" ca="1" si="74"/>
        <v/>
      </c>
      <c r="L359" s="589" t="str">
        <f t="shared" ca="1" si="75"/>
        <v/>
      </c>
      <c r="M359" s="588" t="str">
        <f t="shared" ca="1" si="76"/>
        <v/>
      </c>
      <c r="N359" s="588" t="str">
        <f t="shared" ca="1" si="77"/>
        <v/>
      </c>
      <c r="O359" s="667" t="str">
        <f t="shared" ca="1" si="78"/>
        <v/>
      </c>
      <c r="Q359" s="1222"/>
    </row>
    <row r="360" spans="2:17" ht="16" thickBot="1" x14ac:dyDescent="0.45">
      <c r="B360" s="130"/>
      <c r="C360" s="638">
        <v>100</v>
      </c>
      <c r="D360" s="589" t="str">
        <f t="shared" ca="1" si="79"/>
        <v/>
      </c>
      <c r="E360" s="589" t="str">
        <f t="shared" ca="1" si="80"/>
        <v/>
      </c>
      <c r="F360" s="589" t="str">
        <f t="shared" ca="1" si="81"/>
        <v/>
      </c>
      <c r="G360" s="589" t="str">
        <f t="shared" ca="1" si="72"/>
        <v/>
      </c>
      <c r="H360" s="589" t="str">
        <f t="shared" ca="1" si="82"/>
        <v/>
      </c>
      <c r="I360" s="589" t="str">
        <f t="shared" ca="1" si="83"/>
        <v/>
      </c>
      <c r="J360" s="589" t="str">
        <f t="shared" ca="1" si="73"/>
        <v/>
      </c>
      <c r="K360" s="589" t="str">
        <f t="shared" ca="1" si="74"/>
        <v/>
      </c>
      <c r="L360" s="589" t="str">
        <f t="shared" ca="1" si="75"/>
        <v/>
      </c>
      <c r="M360" s="588" t="str">
        <f t="shared" ca="1" si="76"/>
        <v/>
      </c>
      <c r="N360" s="588" t="str">
        <f t="shared" ca="1" si="77"/>
        <v/>
      </c>
      <c r="O360" s="667" t="str">
        <f t="shared" ca="1" si="78"/>
        <v/>
      </c>
      <c r="Q360" s="1222"/>
    </row>
    <row r="361" spans="2:17" x14ac:dyDescent="0.4">
      <c r="B361" s="130"/>
      <c r="C361" s="130"/>
      <c r="D361" s="130"/>
      <c r="E361" s="605"/>
      <c r="F361" s="605"/>
      <c r="G361" s="605"/>
      <c r="H361" s="605"/>
      <c r="I361" s="605"/>
      <c r="J361" s="126"/>
      <c r="K361" s="126"/>
      <c r="O361" s="1223"/>
      <c r="Q361" s="1222"/>
    </row>
    <row r="362" spans="2:17" ht="16" thickBot="1" x14ac:dyDescent="0.45">
      <c r="B362" s="130"/>
      <c r="C362" s="130"/>
      <c r="D362" s="130"/>
      <c r="E362" s="605"/>
      <c r="F362" s="605"/>
      <c r="G362" s="605"/>
      <c r="H362" s="605"/>
      <c r="I362" s="605"/>
      <c r="J362" s="126"/>
      <c r="K362" s="126"/>
      <c r="O362" s="1223"/>
      <c r="Q362" s="1222"/>
    </row>
    <row r="363" spans="2:17" ht="16" thickBot="1" x14ac:dyDescent="0.45">
      <c r="B363" s="130"/>
      <c r="C363" s="508" t="str">
        <f>"ANSI/ASHRAE Sections " &amp; D14 &amp; ".9.19 and " &amp; D14 &amp; ".9.20: Off-Cycle Sensible and Infiltration Heat Loss Integration Factors"</f>
        <v>ANSI/ASHRAE Sections Unknown.9.19 and Unknown.9.20: Off-Cycle Sensible and Infiltration Heat Loss Integration Factors</v>
      </c>
      <c r="D363" s="568"/>
      <c r="E363" s="568"/>
      <c r="F363" s="568"/>
      <c r="G363" s="568"/>
      <c r="H363" s="568"/>
      <c r="I363" s="568"/>
      <c r="J363" s="568"/>
      <c r="K363" s="569"/>
      <c r="O363" s="1223"/>
      <c r="Q363" s="1222"/>
    </row>
    <row r="364" spans="2:17" ht="16" thickBot="1" x14ac:dyDescent="0.45">
      <c r="B364" s="130"/>
      <c r="C364" s="1506" t="s">
        <v>568</v>
      </c>
      <c r="D364" s="1507"/>
      <c r="E364" s="1507"/>
      <c r="F364" s="1507"/>
      <c r="G364" s="1507"/>
      <c r="H364" s="1507"/>
      <c r="I364" s="1507"/>
      <c r="J364" s="1507"/>
      <c r="K364" s="1508"/>
      <c r="O364" s="1223"/>
      <c r="Q364" s="1222"/>
    </row>
    <row r="365" spans="2:17" ht="31" x14ac:dyDescent="0.4">
      <c r="B365" s="130"/>
      <c r="C365" s="640" t="s">
        <v>517</v>
      </c>
      <c r="D365" s="641" t="s">
        <v>518</v>
      </c>
      <c r="E365" s="642" t="s">
        <v>138</v>
      </c>
      <c r="F365" s="643" t="s">
        <v>33</v>
      </c>
      <c r="G365" s="1538" t="s">
        <v>72</v>
      </c>
      <c r="H365" s="1538"/>
      <c r="I365" s="1538"/>
      <c r="J365" s="1538"/>
      <c r="K365" s="1539"/>
      <c r="O365" s="1223"/>
      <c r="Q365" s="1222"/>
    </row>
    <row r="366" spans="2:17" x14ac:dyDescent="0.4">
      <c r="B366" s="130"/>
      <c r="C366" s="608" t="e">
        <f ca="1">OFFSET($D$17,0,MATCH($D$14,$E$14:$K$14,0))</f>
        <v>#N/A</v>
      </c>
      <c r="D366" s="606" t="e">
        <f ca="1">OFFSET($D$17,0,MATCH($D$14,$E$14:$K$14,0)+1)</f>
        <v>#N/A</v>
      </c>
      <c r="E366" s="586" t="s">
        <v>178</v>
      </c>
      <c r="F366" s="586" t="s">
        <v>178</v>
      </c>
      <c r="G366" s="1515" t="s">
        <v>39</v>
      </c>
      <c r="H366" s="1515"/>
      <c r="I366" s="1515"/>
      <c r="J366" s="1515"/>
      <c r="K366" s="1516"/>
      <c r="O366" s="1223"/>
      <c r="Q366" s="1222"/>
    </row>
    <row r="367" spans="2:17" x14ac:dyDescent="0.4">
      <c r="B367" s="130"/>
      <c r="C367" s="608" t="e">
        <f ca="1">OFFSET($D$125,0,MATCH($D$14,$E$14:$K$14,0))</f>
        <v>#N/A</v>
      </c>
      <c r="D367" s="606" t="e">
        <f ca="1">OFFSET($D$125,0,MATCH($D$14,$E$14:$K$14,0)+1)</f>
        <v>#N/A</v>
      </c>
      <c r="E367" s="586" t="s">
        <v>178</v>
      </c>
      <c r="F367" s="586" t="s">
        <v>178</v>
      </c>
      <c r="G367" s="1515" t="s">
        <v>409</v>
      </c>
      <c r="H367" s="1515"/>
      <c r="I367" s="1515"/>
      <c r="J367" s="1515"/>
      <c r="K367" s="1516"/>
      <c r="O367" s="1223"/>
      <c r="Q367" s="1222"/>
    </row>
    <row r="368" spans="2:17" ht="16.5" x14ac:dyDescent="0.4">
      <c r="B368" s="130"/>
      <c r="C368" s="609" t="e">
        <f ca="1">OFFSET($D$85,0,MATCH($D$14,$E$14:$K$14,0))</f>
        <v>#N/A</v>
      </c>
      <c r="D368" s="589" t="e">
        <f ca="1">OFFSET($D$85,0,MATCH($D$14,$E$14:$K$14,0)+1)</f>
        <v>#N/A</v>
      </c>
      <c r="E368" s="586" t="s">
        <v>36</v>
      </c>
      <c r="F368" s="586" t="s">
        <v>641</v>
      </c>
      <c r="G368" s="1515" t="s">
        <v>455</v>
      </c>
      <c r="H368" s="1515"/>
      <c r="I368" s="1515"/>
      <c r="J368" s="1515"/>
      <c r="K368" s="1516"/>
      <c r="O368" s="1223"/>
      <c r="Q368" s="1222"/>
    </row>
    <row r="369" spans="2:17" ht="16.5" x14ac:dyDescent="0.4">
      <c r="B369" s="130"/>
      <c r="C369" s="609" t="e">
        <f ca="1">OFFSET($D$99,0,MATCH($D$14,$E$14:$K$14,0))</f>
        <v>#N/A</v>
      </c>
      <c r="D369" s="589" t="e">
        <f ca="1">OFFSET($D$99,0,MATCH($D$14,$E$14:$K$14,0)+1)</f>
        <v>#N/A</v>
      </c>
      <c r="E369" s="586" t="s">
        <v>36</v>
      </c>
      <c r="F369" s="586" t="s">
        <v>661</v>
      </c>
      <c r="G369" s="1515" t="s">
        <v>468</v>
      </c>
      <c r="H369" s="1515"/>
      <c r="I369" s="1515"/>
      <c r="J369" s="1515"/>
      <c r="K369" s="1516"/>
      <c r="O369" s="1223"/>
      <c r="Q369" s="1222"/>
    </row>
    <row r="370" spans="2:17" ht="16.5" x14ac:dyDescent="0.4">
      <c r="B370" s="130"/>
      <c r="C370" s="609" t="e">
        <f ca="1">OFFSET($D$89,0,MATCH($D$14,$E$14:$K$14,0))</f>
        <v>#N/A</v>
      </c>
      <c r="D370" s="589" t="e">
        <f ca="1">OFFSET($D$89,0,MATCH($D$14,$E$14:$K$14,0)+1)</f>
        <v>#N/A</v>
      </c>
      <c r="E370" s="586" t="s">
        <v>36</v>
      </c>
      <c r="F370" s="586" t="s">
        <v>645</v>
      </c>
      <c r="G370" s="1515" t="s">
        <v>459</v>
      </c>
      <c r="H370" s="1515"/>
      <c r="I370" s="1515"/>
      <c r="J370" s="1515"/>
      <c r="K370" s="1516"/>
      <c r="O370" s="1223"/>
      <c r="Q370" s="1222"/>
    </row>
    <row r="371" spans="2:17" ht="16.5" x14ac:dyDescent="0.4">
      <c r="B371" s="130"/>
      <c r="C371" s="609" t="e">
        <f ca="1">OFFSET($D$100,0,MATCH($D$14,$E$14:$K$14,0))</f>
        <v>#N/A</v>
      </c>
      <c r="D371" s="589" t="e">
        <f ca="1">OFFSET($D$100,0,MATCH($D$14,$E$14:$K$14,0)+1)</f>
        <v>#N/A</v>
      </c>
      <c r="E371" s="586" t="s">
        <v>178</v>
      </c>
      <c r="F371" s="586" t="s">
        <v>662</v>
      </c>
      <c r="G371" s="1515" t="s">
        <v>469</v>
      </c>
      <c r="H371" s="1515"/>
      <c r="I371" s="1515"/>
      <c r="J371" s="1515"/>
      <c r="K371" s="1516"/>
      <c r="O371" s="1223"/>
      <c r="Q371" s="1222"/>
    </row>
    <row r="372" spans="2:17" ht="16.5" x14ac:dyDescent="0.4">
      <c r="B372" s="130"/>
      <c r="C372" s="610" t="e">
        <f ca="1">IF(C367="Yes",(C370-C369)/C371,"N/A")</f>
        <v>#N/A</v>
      </c>
      <c r="D372" s="607" t="e">
        <f ca="1">IF(D367="Yes",(D370-D369)/D371,"N/A")</f>
        <v>#N/A</v>
      </c>
      <c r="E372" s="586" t="s">
        <v>178</v>
      </c>
      <c r="F372" s="586" t="s">
        <v>699</v>
      </c>
      <c r="G372" s="1515" t="s">
        <v>564</v>
      </c>
      <c r="H372" s="1515"/>
      <c r="I372" s="1515"/>
      <c r="J372" s="1515"/>
      <c r="K372" s="1516"/>
      <c r="O372" s="1223"/>
      <c r="Q372" s="1222"/>
    </row>
    <row r="373" spans="2:17" ht="16.5" x14ac:dyDescent="0.4">
      <c r="B373" s="605"/>
      <c r="C373" s="609" t="e">
        <f ca="1">OFFSET($D$105,0,MATCH($D$14,$E$14:$K$14,0))</f>
        <v>#N/A</v>
      </c>
      <c r="D373" s="589" t="e">
        <f ca="1">OFFSET($D$105,0,MATCH($D$14,$E$14:$K$14,0)+1)</f>
        <v>#N/A</v>
      </c>
      <c r="E373" s="586" t="s">
        <v>51</v>
      </c>
      <c r="F373" s="586" t="s">
        <v>667</v>
      </c>
      <c r="G373" s="1533" t="s">
        <v>474</v>
      </c>
      <c r="H373" s="1533"/>
      <c r="I373" s="1533"/>
      <c r="J373" s="1533"/>
      <c r="K373" s="1534"/>
      <c r="O373" s="1223"/>
      <c r="Q373" s="1222"/>
    </row>
    <row r="374" spans="2:17" ht="16.5" x14ac:dyDescent="0.4">
      <c r="B374" s="605"/>
      <c r="C374" s="609" t="e">
        <f ca="1">OFFSET($D$107,0,MATCH($D$14,$E$14:$K$14,0))</f>
        <v>#N/A</v>
      </c>
      <c r="D374" s="589" t="e">
        <f ca="1">OFFSET($D$107,0,MATCH($D$14,$E$14:$K$14,0)+1)</f>
        <v>#N/A</v>
      </c>
      <c r="E374" s="586" t="s">
        <v>51</v>
      </c>
      <c r="F374" s="586" t="s">
        <v>669</v>
      </c>
      <c r="G374" s="1533" t="s">
        <v>475</v>
      </c>
      <c r="H374" s="1533"/>
      <c r="I374" s="1533"/>
      <c r="J374" s="1533"/>
      <c r="K374" s="1534"/>
      <c r="O374" s="1223"/>
      <c r="Q374" s="1222"/>
    </row>
    <row r="375" spans="2:17" x14ac:dyDescent="0.4">
      <c r="B375" s="130"/>
      <c r="C375" s="611">
        <f>COUNT(C397:C1397)-1</f>
        <v>1000</v>
      </c>
      <c r="D375" s="606">
        <f>COUNT(C397:C1397)-1</f>
        <v>1000</v>
      </c>
      <c r="E375" s="586" t="s">
        <v>178</v>
      </c>
      <c r="F375" s="586" t="s">
        <v>178</v>
      </c>
      <c r="G375" s="1515" t="s">
        <v>563</v>
      </c>
      <c r="H375" s="1515"/>
      <c r="I375" s="1515"/>
      <c r="J375" s="1515"/>
      <c r="K375" s="1516"/>
      <c r="O375" s="1223"/>
      <c r="Q375" s="1222"/>
    </row>
    <row r="376" spans="2:17" ht="16" thickBot="1" x14ac:dyDescent="0.45">
      <c r="B376" s="130"/>
      <c r="C376" s="644" t="e">
        <f ca="1">(C371-0)/C375</f>
        <v>#N/A</v>
      </c>
      <c r="D376" s="622" t="e">
        <f ca="1">(D371-0)/D375</f>
        <v>#N/A</v>
      </c>
      <c r="E376" s="634" t="s">
        <v>178</v>
      </c>
      <c r="F376" s="634" t="s">
        <v>700</v>
      </c>
      <c r="G376" s="1519" t="s">
        <v>556</v>
      </c>
      <c r="H376" s="1519"/>
      <c r="I376" s="1519"/>
      <c r="J376" s="1519"/>
      <c r="K376" s="1520"/>
      <c r="O376" s="1223"/>
      <c r="Q376" s="1222"/>
    </row>
    <row r="377" spans="2:17" ht="16" thickBot="1" x14ac:dyDescent="0.45">
      <c r="B377" s="605"/>
      <c r="C377" s="612"/>
      <c r="D377" s="613"/>
      <c r="E377" s="613"/>
      <c r="F377" s="613"/>
      <c r="G377" s="613"/>
      <c r="H377" s="613"/>
      <c r="I377" s="613"/>
      <c r="J377" s="140"/>
      <c r="K377" s="570"/>
      <c r="O377" s="1223"/>
      <c r="Q377" s="1222"/>
    </row>
    <row r="378" spans="2:17" x14ac:dyDescent="0.4">
      <c r="B378" s="605"/>
      <c r="C378" s="645" t="s">
        <v>517</v>
      </c>
      <c r="D378" s="646"/>
      <c r="E378" s="646"/>
      <c r="F378" s="646"/>
      <c r="G378" s="646"/>
      <c r="H378" s="647"/>
      <c r="I378" s="613"/>
      <c r="J378" s="140"/>
      <c r="K378" s="570"/>
      <c r="O378" s="1223"/>
      <c r="Q378" s="1222"/>
    </row>
    <row r="379" spans="2:17" ht="17.5" x14ac:dyDescent="0.4">
      <c r="B379" s="605"/>
      <c r="C379" s="614" t="s">
        <v>701</v>
      </c>
      <c r="D379" s="573" t="s">
        <v>702</v>
      </c>
      <c r="E379" s="615" t="s">
        <v>566</v>
      </c>
      <c r="F379" s="616" t="str">
        <f>"f(" &amp; C375 &amp; ")"</f>
        <v>f(1000)</v>
      </c>
      <c r="G379" s="1504" t="s">
        <v>567</v>
      </c>
      <c r="H379" s="1505"/>
      <c r="I379" s="613"/>
      <c r="J379" s="140"/>
      <c r="K379" s="570"/>
      <c r="O379" s="1223"/>
      <c r="Q379" s="1222"/>
    </row>
    <row r="380" spans="2:17" x14ac:dyDescent="0.4">
      <c r="B380" s="605"/>
      <c r="C380" s="610" t="e">
        <f ca="1">IF($C$366&gt;4,0,IF($C$366=1,$C$371,IF($C$367="Yes",$C$372,$C$371)))</f>
        <v>#N/A</v>
      </c>
      <c r="D380" s="607" t="e">
        <f ca="1">IF($C$366&gt;4,0,$C$373)</f>
        <v>#N/A</v>
      </c>
      <c r="E380" s="617" t="e">
        <f ca="1">(($D380*EXP(-$D$397))^1.56)/(($D380*EXP(-$D$397)+530)^1.19)</f>
        <v>#N/A</v>
      </c>
      <c r="F380" s="617" t="e">
        <f ca="1">(($D380*EXP(-$D$1397))^1.56)/(($D380*EXP(-$D$1397)+530)^1.19)</f>
        <v>#N/A</v>
      </c>
      <c r="G380" s="618" t="e">
        <f ca="1">IF($C$366&lt;=4,
$C$376/3*
(4*SUMPRODUCT(((($D380*EXP(-$D$397:$D$1397))^1.56)/(($D380*EXP(-$D$397:$D$1397)+530)^1.19))*(MOD($C$397:$C$1397,2)=1))+
2*SUMPRODUCT(((($D380*EXP(-$D$397:$D$1397))^1.56)/(($D380*EXP(-$D$397:$D$1397)+530)^1.19))*(MOD($C$397:$C$1397,2)=0))
-$F380-$E380)/$C380,0)</f>
        <v>#N/A</v>
      </c>
      <c r="H380" s="648" t="s">
        <v>479</v>
      </c>
      <c r="I380" s="613"/>
      <c r="J380" s="140"/>
      <c r="K380" s="570"/>
      <c r="O380" s="1223"/>
      <c r="Q380" s="1222"/>
    </row>
    <row r="381" spans="2:17" x14ac:dyDescent="0.4">
      <c r="B381" s="605"/>
      <c r="C381" s="610" t="e">
        <f ca="1">C380</f>
        <v>#N/A</v>
      </c>
      <c r="D381" s="607" t="e">
        <f ca="1">D380</f>
        <v>#N/A</v>
      </c>
      <c r="E381" s="617" t="e">
        <f ca="1">(($D381*EXP(-$D$397)+100)^1.56)/(($D381*EXP(-$D$397)+630)^1.19)-(($D381*EXP(-$D$397))^1.56)/(($D381*EXP(-$D$397)+530)^1.19)</f>
        <v>#N/A</v>
      </c>
      <c r="F381" s="617" t="e">
        <f ca="1">(($D381*EXP(-$D$1397)+100)^1.56)/(($D381*EXP(-$D$1397)+630)^1.19)-(($D381*EXP(-$D$1397))^1.56)/(($D381*EXP(-$D$1397)+530)^1.19)</f>
        <v>#N/A</v>
      </c>
      <c r="G381" s="618" t="e">
        <f ca="1">IF($C$366&lt;=4,
$C$376/3*
(4*SUMPRODUCT(((($D381*EXP(-$D$397:$D$1397)+100)^1.56)/(($D381*EXP(-$D$397:$D$1397)+630)^1.19)-(($D381*EXP(-$D$397:$D$1397))^1.56)/(($D381*EXP(-$D$397:$D$1397)+530)^1.19))*(MOD($C$397:$C$1397,2)=1))+
2*SUMPRODUCT(((($D381*EXP(-$D$397:$D$1397)+100)^1.56)/(($D381*EXP(-$D$397:$D$1397)+630)^1.19)-(($D381*EXP(-$D$397:$D$1397))^1.56)/(($D381*EXP(-$D$397:$D$1397)+530)^1.19))*(MOD($C$397:$C$1397,2)=0))-
$F381-$E381)/(100*$C381),0)</f>
        <v>#N/A</v>
      </c>
      <c r="H381" s="648" t="s">
        <v>480</v>
      </c>
      <c r="I381" s="613"/>
      <c r="J381" s="140"/>
      <c r="K381" s="570"/>
      <c r="O381" s="1223"/>
      <c r="Q381" s="1222"/>
    </row>
    <row r="382" spans="2:17" x14ac:dyDescent="0.4">
      <c r="B382" s="605"/>
      <c r="C382" s="610" t="e">
        <f ca="1">IF($C$366&lt;=4,0,IF(AND($C$366=10,$C$367="Yes"),$C$372,$C$371))</f>
        <v>#N/A</v>
      </c>
      <c r="D382" s="607" t="e">
        <f ca="1">IF($C$366&lt;=4,0,IF($C$366&lt;=8,$C$374,$C$373))</f>
        <v>#N/A</v>
      </c>
      <c r="E382" s="617" t="e">
        <f ca="1">((($D382*EXP(-$D$397)+28)^0.56)*($D382*EXP(-$D$397)))/
(($D382*EXP(-$D$397)+530)^1.19)</f>
        <v>#N/A</v>
      </c>
      <c r="F382" s="617" t="e">
        <f ca="1">((($D382*EXP(-$D$1397)+28)^0.56)*($D382*EXP(-$D$1397)))/
(($D382*EXP(-$D$1397)+530)^1.19)</f>
        <v>#N/A</v>
      </c>
      <c r="G382" s="618" t="e">
        <f ca="1">IF($C$366&gt;4,
$C$376/3*
(4*SUMPRODUCT((((($D382*EXP(-$D$397:$D$1397)+28)^0.56)*($D382*EXP(-$D$397:$D$1397)))/(($D382*EXP(-$D$397:$D$1397)+530)^1.19))*(MOD($C$397:$C$1397,2)=1))+
2*SUMPRODUCT((((($D382*EXP(-$D$397:$D$1397)+28)^0.56)*($D382*EXP(-$D$397:$D$1397)))/(($D382*EXP(-$D$397:$D$1397)+530)^1.19))*(MOD($C$397:$C$1397,2)=0))-
$E382-$F382)/($C382),0)</f>
        <v>#N/A</v>
      </c>
      <c r="H382" s="648" t="s">
        <v>481</v>
      </c>
      <c r="I382" s="613"/>
      <c r="J382" s="140"/>
      <c r="K382" s="570"/>
      <c r="O382" s="1223"/>
      <c r="Q382" s="1222"/>
    </row>
    <row r="383" spans="2:17" x14ac:dyDescent="0.4">
      <c r="B383" s="605"/>
      <c r="C383" s="610" t="e">
        <f ca="1">C382</f>
        <v>#N/A</v>
      </c>
      <c r="D383" s="607" t="e">
        <f ca="1">D382</f>
        <v>#N/A</v>
      </c>
      <c r="E383" s="617" t="e">
        <f ca="1">((($D383*EXP(-$D$397)+128)^0.56)*($D383*EXP(-$D$397)+100))/(($D383*EXP(-$D$397)+630)^1.19)-((($D383*EXP(-$D$397)+28)^0.56)*($D383*EXP(-$D$397)))/(($D383*EXP(-$D$397)+530)^1.19)</f>
        <v>#N/A</v>
      </c>
      <c r="F383" s="617" t="e">
        <f ca="1">((($D383*EXP(-$D$1397)+128)^0.56)*($D383*EXP(-$D$1397)+100))/(($D383*EXP(-$D$1397)+630)^1.19)-((($D383*EXP(-$D$1397)+28)^0.56)*($D383*EXP(-$D$1397)))/(($D383*EXP(-$D$1397)+530)^1.19)</f>
        <v>#N/A</v>
      </c>
      <c r="G383" s="618" t="e">
        <f ca="1">IF($C$366&gt;4,
$C$376/3*
(4*SUMPRODUCT((((($D383*EXP(-$D$397:$D$1397)+128)^0.56)*($D383*EXP(-$D$397:$D$1397)+100))/(($D383*EXP(-$D$397:$D$1397)+630)^1.19)-((($D383*EXP(-$D$397:$D$1397)+28)^0.56)*($D383*EXP(-$D$397:$D$1397)))/(($D383*EXP(-$D$397:$D$1397)+530)^1.19))*(MOD($C$397:$C$1397,2)=1))+
2*SUMPRODUCT((((($D383*EXP(-$D$397:$D$1397)+128)^0.56)*($D383*EXP(-$D$397:$D$1397)+100))/(($D383*EXP(-$D$397:$D$1397)+630)^1.19)-((($D383*EXP(-$D$397:$D$1397)+28)^0.56)*($D383*EXP(-$D$397:$D$1397)))/(($D383*EXP(-$D$397:$D$1397)+530)^1.19))*(MOD($C$397:$C$1397,2)=0))-
$F383-$E383)/(100*$C383),0)</f>
        <v>#N/A</v>
      </c>
      <c r="H383" s="648" t="s">
        <v>482</v>
      </c>
      <c r="I383" s="613"/>
      <c r="J383" s="140"/>
      <c r="K383" s="570"/>
      <c r="O383" s="1223"/>
      <c r="Q383" s="1222"/>
    </row>
    <row r="384" spans="2:17" x14ac:dyDescent="0.4">
      <c r="B384" s="605"/>
      <c r="C384" s="610" t="e">
        <f ca="1">IF($C$366&gt;=9,0,IF(AND($C$366&gt;=2,$C$366&lt;=4,$C$367="Yes"),$C$372,$C$371))</f>
        <v>#N/A</v>
      </c>
      <c r="D384" s="607" t="e">
        <f ca="1">IF($C$366&gt;=9,0,IF($C$366=3,$C$373,$C$374))</f>
        <v>#N/A</v>
      </c>
      <c r="E384" s="617" t="e">
        <f ca="1">(($D384*EXP(-$D$397)+28)^0.56)/(($D384*EXP(-$D$397)+530)^1.19)</f>
        <v>#N/A</v>
      </c>
      <c r="F384" s="617" t="e">
        <f ca="1">(($D384*EXP(-$D$1397)+28)^0.56)/(($D384*EXP(-$D$1397)+530)^1.19)</f>
        <v>#N/A</v>
      </c>
      <c r="G384" s="618" t="e">
        <f ca="1">IF($C$366&gt;=9,0,
$C$376/3*
(4*SUMPRODUCT(((($D384*EXP(-$D$397:$D$1397)+28)^0.56)/(($D384*EXP(-$D$397:$D$1397)+530)^1.19))*(MOD($C$397:$C$1397,2)=1))+
2*SUMPRODUCT(((($D384*EXP(-$D$397:$D$1397)+28)^0.56)/(($D384*EXP(-$D$397:$D$1397)+530)^1.19))*(MOD($C$397:$C$1397,2)=0))-
$F384-$E384)/($C384))</f>
        <v>#N/A</v>
      </c>
      <c r="H384" s="648" t="s">
        <v>483</v>
      </c>
      <c r="I384" s="613"/>
      <c r="J384" s="140"/>
      <c r="K384" s="570"/>
      <c r="O384" s="1223"/>
      <c r="Q384" s="1222"/>
    </row>
    <row r="385" spans="2:17" ht="16" thickBot="1" x14ac:dyDescent="0.45">
      <c r="B385" s="605"/>
      <c r="C385" s="649" t="e">
        <f ca="1">C384</f>
        <v>#N/A</v>
      </c>
      <c r="D385" s="650" t="e">
        <f ca="1">D384</f>
        <v>#N/A</v>
      </c>
      <c r="E385" s="651" t="e">
        <f ca="1">(($D385*EXP(-$D$397)+128)^0.56)/(($D385*EXP(-$D$397)+630)^1.19)-(($D385*EXP(-$D$397)+28)^0.56)/(($D385*EXP(-$D$397)+530)^1.19)</f>
        <v>#N/A</v>
      </c>
      <c r="F385" s="651" t="e">
        <f ca="1">(($D385*EXP(-$D$1397)+128)^0.56)/(($D385*EXP(-$D$1397)+630)^1.19)-(($D385*EXP(-$D$1397)+28)^0.56)/(($D385*EXP(-$D$1397)+530)^1.19)</f>
        <v>#N/A</v>
      </c>
      <c r="G385" s="652" t="e">
        <f ca="1">IF($C$366&gt;=9,0,
$C$376/3*
(4*SUMPRODUCT(((($D385*EXP(-$D$397:$D$1397)+128)^0.56)/(($D385*EXP(-$D$397:$D$1397)+630)^1.19)-(($D385*EXP(-$D$397:$D$1397)+28)^0.56)/(($D385*EXP(-$D$397:$D$1397)+530)^1.19))*(MOD($C$397:$C$1397,2)=1))+
2*SUMPRODUCT(((($D385*EXP(-$D$397:$D$1397)+128)^0.56)/(($D385*EXP(-$D$397:$D$1397)+630)^1.19)-(($D385*EXP(-$D$397:$D$1397)+28)^0.56)/(($D385*EXP(-$D$397:$D$1397)+530)^1.19))*(MOD($C$397:$C$1397,2)=0))-
$F385-$E385)/(100*$C385))</f>
        <v>#N/A</v>
      </c>
      <c r="H385" s="653" t="s">
        <v>485</v>
      </c>
      <c r="I385" s="613"/>
      <c r="J385" s="140"/>
      <c r="K385" s="570"/>
      <c r="O385" s="1223"/>
      <c r="Q385" s="1222"/>
    </row>
    <row r="386" spans="2:17" ht="16" thickBot="1" x14ac:dyDescent="0.45">
      <c r="B386" s="605"/>
      <c r="C386" s="612"/>
      <c r="D386" s="613"/>
      <c r="E386" s="613"/>
      <c r="F386" s="613"/>
      <c r="G386" s="613"/>
      <c r="H386" s="613"/>
      <c r="I386" s="613"/>
      <c r="J386" s="140"/>
      <c r="K386" s="570"/>
      <c r="O386" s="1223"/>
      <c r="Q386" s="1222"/>
    </row>
    <row r="387" spans="2:17" x14ac:dyDescent="0.4">
      <c r="B387" s="605"/>
      <c r="C387" s="645" t="s">
        <v>518</v>
      </c>
      <c r="D387" s="646"/>
      <c r="E387" s="646"/>
      <c r="F387" s="646"/>
      <c r="G387" s="646"/>
      <c r="H387" s="647"/>
      <c r="I387" s="613"/>
      <c r="J387" s="140"/>
      <c r="K387" s="570"/>
      <c r="O387" s="1223"/>
      <c r="Q387" s="1222"/>
    </row>
    <row r="388" spans="2:17" ht="17.5" x14ac:dyDescent="0.4">
      <c r="B388" s="605"/>
      <c r="C388" s="614" t="s">
        <v>701</v>
      </c>
      <c r="D388" s="573" t="s">
        <v>702</v>
      </c>
      <c r="E388" s="615" t="s">
        <v>566</v>
      </c>
      <c r="F388" s="616" t="str">
        <f>"f(" &amp; D375 &amp; ")"</f>
        <v>f(1000)</v>
      </c>
      <c r="G388" s="1504" t="s">
        <v>567</v>
      </c>
      <c r="H388" s="1505"/>
      <c r="I388" s="613"/>
      <c r="J388" s="140"/>
      <c r="K388" s="570"/>
      <c r="O388" s="1223"/>
      <c r="Q388" s="1222"/>
    </row>
    <row r="389" spans="2:17" x14ac:dyDescent="0.4">
      <c r="B389" s="605"/>
      <c r="C389" s="610" t="e">
        <f ca="1">IF($D$366&gt;4,0,IF($D$366=1,$D$371,IF($D$367="Yes",$D$372,$D$371)))</f>
        <v>#N/A</v>
      </c>
      <c r="D389" s="607" t="e">
        <f ca="1">IF($D$366&gt;4,0,$D$373)</f>
        <v>#N/A</v>
      </c>
      <c r="E389" s="617" t="e">
        <f ca="1">(($D389*EXP(-$D$397))^1.56)/(($D389*EXP(-$D$397)+530)^1.19)</f>
        <v>#N/A</v>
      </c>
      <c r="F389" s="617" t="e">
        <f ca="1">(($D389*EXP(-$D$1397))^1.56)/(($D389*EXP(-$D$1397)+530)^1.19)</f>
        <v>#N/A</v>
      </c>
      <c r="G389" s="618" t="e">
        <f ca="1">IF($D$366&lt;=4,
$D$376/3*
(4*SUMPRODUCT(((($D389*EXP(-$D$397:$D$1397))^1.56)/(($D389*EXP(-$D$397:$D$1397)+530)^1.19))*(MOD($C$397:$C$1397,2)=1))+
2*SUMPRODUCT(((($D389*EXP(-$D$397:$D$1397))^1.56)/(($D389*EXP(-$D$397:$D$1397)+530)^1.19))*(MOD($C$397:$C$1397,2)=0))
-$F389-$E389)/$C389,0)</f>
        <v>#N/A</v>
      </c>
      <c r="H389" s="648" t="s">
        <v>479</v>
      </c>
      <c r="I389" s="613"/>
      <c r="J389" s="140"/>
      <c r="K389" s="570"/>
      <c r="O389" s="1223"/>
      <c r="Q389" s="1222"/>
    </row>
    <row r="390" spans="2:17" x14ac:dyDescent="0.4">
      <c r="B390" s="605"/>
      <c r="C390" s="610" t="e">
        <f ca="1">C389</f>
        <v>#N/A</v>
      </c>
      <c r="D390" s="607" t="e">
        <f ca="1">D389</f>
        <v>#N/A</v>
      </c>
      <c r="E390" s="617" t="e">
        <f ca="1">(($D390*EXP(-$D$397)+100)^1.56)/(($D390*EXP(-$D$397)+630)^1.19)-(($D390*EXP(-$D$397))^1.56)/(($D390*EXP(-$D$397)+530)^1.19)</f>
        <v>#N/A</v>
      </c>
      <c r="F390" s="617" t="e">
        <f ca="1">(($D390*EXP(-$D$1397)+100)^1.56)/(($D390*EXP(-$D$1397)+630)^1.19)-(($D390*EXP(-$D$1397))^1.56)/(($D390*EXP(-$D$1397)+530)^1.19)</f>
        <v>#N/A</v>
      </c>
      <c r="G390" s="618" t="e">
        <f ca="1">IF($D$366&lt;=4,
$D$376/3*
(4*SUMPRODUCT(((($D390*EXP(-$D$397:$D$1397)+100)^1.56)/(($D390*EXP(-$D$397:$D$1397)+630)^1.19)-(($D390*EXP(-$D$397:$D$1397))^1.56)/(($D390*EXP(-$D$397:$D$1397)+530)^1.19))*(MOD($C$397:$C$1397,2)=1))+
2*SUMPRODUCT(((($D390*EXP(-$D$397:$D$1397)+100)^1.56)/(($D390*EXP(-$D$397:$D$1397)+630)^1.19)-(($D390*EXP(-$D$397:$D$1397))^1.56)/(($D390*EXP(-$D$397:$D$1397)+530)^1.19))*(MOD($C$397:$C$1397,2)=0))-
$F390-$E390)/(100*$C390),0)</f>
        <v>#N/A</v>
      </c>
      <c r="H390" s="648" t="s">
        <v>480</v>
      </c>
      <c r="I390" s="613"/>
      <c r="J390" s="140"/>
      <c r="K390" s="570"/>
      <c r="O390" s="1223"/>
      <c r="Q390" s="1222"/>
    </row>
    <row r="391" spans="2:17" x14ac:dyDescent="0.4">
      <c r="B391" s="605"/>
      <c r="C391" s="610" t="e">
        <f ca="1">IF($D$366&lt;=4,0,IF(AND($D$366=10,$D$367="Yes"),$D$372,$D$371))</f>
        <v>#N/A</v>
      </c>
      <c r="D391" s="607" t="e">
        <f ca="1">IF($D$366&lt;=4,0,IF($D$366&lt;=8,$D$374,$D$373))</f>
        <v>#N/A</v>
      </c>
      <c r="E391" s="617" t="e">
        <f ca="1">((($D391*EXP(-$D$397)+28)^0.56)*($D391*EXP(-$D$397)))/
(($D391*EXP(-$D$397)+530)^1.19)</f>
        <v>#N/A</v>
      </c>
      <c r="F391" s="617" t="e">
        <f ca="1">((($D391*EXP(-$D$1397)+28)^0.56)*($D391*EXP(-$D$1397)))/
(($D391*EXP(-$D$1397)+530)^1.19)</f>
        <v>#N/A</v>
      </c>
      <c r="G391" s="618" t="e">
        <f ca="1">IF($D$366&gt;4,
$D$376/3*
(4*SUMPRODUCT((((($D391*EXP(-$D$397:$D$1397)+28)^0.56)*($D391*EXP(-$D$397:$D$1397)))/(($D391*EXP(-$D$397:$D$1397)+530)^1.19))*(MOD($C$397:$C$1397,2)=1))+
2*SUMPRODUCT((((($D391*EXP(-$D$397:$D$1397)+28)^0.56)*($D391*EXP(-$D$397:$D$1397)))/(($D391*EXP(-$D$397:$D$1397)+530)^1.19))*(MOD($C$397:$C$1397,2)=0))-
$E391-$F391)/($C391),0)</f>
        <v>#N/A</v>
      </c>
      <c r="H391" s="648" t="s">
        <v>481</v>
      </c>
      <c r="I391" s="613"/>
      <c r="J391" s="140"/>
      <c r="K391" s="570"/>
      <c r="O391" s="1223"/>
      <c r="Q391" s="1222"/>
    </row>
    <row r="392" spans="2:17" x14ac:dyDescent="0.4">
      <c r="B392" s="605"/>
      <c r="C392" s="610" t="e">
        <f ca="1">C391</f>
        <v>#N/A</v>
      </c>
      <c r="D392" s="607" t="e">
        <f ca="1">D391</f>
        <v>#N/A</v>
      </c>
      <c r="E392" s="617" t="e">
        <f ca="1">((($D392*EXP(-$D$397)+128)^0.56)*($D392*EXP(-$D$397)+100))/(($D392*EXP(-$D$397)+630)^1.19)-((($D392*EXP(-$D$397)+28)^0.56)*($D392*EXP(-$D$397)))/(($D392*EXP(-$D$397)+530)^1.19)</f>
        <v>#N/A</v>
      </c>
      <c r="F392" s="617" t="e">
        <f ca="1">((($D392*EXP(-$D$1397)+128)^0.56)*($D392*EXP(-$D$1397)+100))/(($D392*EXP(-$D$1397)+630)^1.19)-((($D392*EXP(-$D$1397)+28)^0.56)*($D392*EXP(-$D$1397)))/(($D392*EXP(-$D$1397)+530)^1.19)</f>
        <v>#N/A</v>
      </c>
      <c r="G392" s="618" t="e">
        <f ca="1">IF($D$366&gt;4,
$D$376/3*
(4*SUMPRODUCT((((($D392*EXP(-$D$397:$D$1397)+128)^0.56)*($D392*EXP(-$D$397:$D$1397)+100))/(($D392*EXP(-$D$397:$D$1397)+630)^1.19)-((($D392*EXP(-$D$397:$D$1397)+28)^0.56)*($D392*EXP(-$D$397:$D$1397)))/(($D392*EXP(-$D$397:$D$1397)+530)^1.19))*(MOD($C$397:$C$1397,2)=1))+
2*SUMPRODUCT((((($D392*EXP(-$D$397:$D$1397)+128)^0.56)*($D392*EXP(-$D$397:$D$1397)+100))/(($D392*EXP(-$D$397:$D$1397)+630)^1.19)-((($D392*EXP(-$D$397:$D$1397)+28)^0.56)*($D392*EXP(-$D$397:$D$1397)))/(($D392*EXP(-$D$397:$D$1397)+530)^1.19))*(MOD($C$397:$C$1397,2)=0))-
$F392-$E392)/(100*$C392),0)</f>
        <v>#N/A</v>
      </c>
      <c r="H392" s="648" t="s">
        <v>482</v>
      </c>
      <c r="I392" s="613"/>
      <c r="J392" s="140"/>
      <c r="K392" s="570"/>
      <c r="O392" s="1223"/>
      <c r="Q392" s="1222"/>
    </row>
    <row r="393" spans="2:17" x14ac:dyDescent="0.4">
      <c r="B393" s="605"/>
      <c r="C393" s="610" t="e">
        <f ca="1">IF($D$366&gt;=9,0,IF(AND($D$366&gt;=2,$D$366&lt;=4,$D$367="Yes"),$D$372,$D$371))</f>
        <v>#N/A</v>
      </c>
      <c r="D393" s="607" t="e">
        <f ca="1">IF($D$366&gt;=9,0,IF($D$366=3,$D$373,$D$374))</f>
        <v>#N/A</v>
      </c>
      <c r="E393" s="617" t="e">
        <f ca="1">(($D393*EXP(-$D$397)+28)^0.56)/(($D393*EXP(-$D$397)+530)^1.19)</f>
        <v>#N/A</v>
      </c>
      <c r="F393" s="617" t="e">
        <f ca="1">(($D393*EXP(-$D$1397)+28)^0.56)/(($D393*EXP(-$D$1397)+530)^1.19)</f>
        <v>#N/A</v>
      </c>
      <c r="G393" s="618" t="e">
        <f ca="1">IF($D$366&gt;=9,0,
$D$376/3*
(4*SUMPRODUCT(((($D393*EXP(-$D$397:$D$1397)+28)^0.56)/(($D393*EXP(-$D$397:$D$1397)+530)^1.19))*(MOD($C$397:$C$1397,2)=1))+
2*SUMPRODUCT(((($D393*EXP(-$D$397:$D$1397)+28)^0.56)/(($D393*EXP(-$D$397:$D$1397)+530)^1.19))*(MOD($C$397:$C$1397,2)=0))-
$F393-$E393)/($C393))</f>
        <v>#N/A</v>
      </c>
      <c r="H393" s="648" t="s">
        <v>483</v>
      </c>
      <c r="I393" s="613"/>
      <c r="J393" s="140"/>
      <c r="K393" s="570"/>
      <c r="O393" s="1223"/>
      <c r="Q393" s="1222"/>
    </row>
    <row r="394" spans="2:17" ht="16" thickBot="1" x14ac:dyDescent="0.45">
      <c r="B394" s="605"/>
      <c r="C394" s="649" t="e">
        <f ca="1">C393</f>
        <v>#N/A</v>
      </c>
      <c r="D394" s="650" t="e">
        <f ca="1">D393</f>
        <v>#N/A</v>
      </c>
      <c r="E394" s="651" t="e">
        <f ca="1">(($D394*EXP(-$D$397)+128)^0.56)/(($D394*EXP(-$D$397)+630)^1.19)-(($D394*EXP(-$D$397)+28)^0.56)/(($D394*EXP(-$D$397)+530)^1.19)</f>
        <v>#N/A</v>
      </c>
      <c r="F394" s="651" t="e">
        <f ca="1">(($D394*EXP(-$D$1397)+128)^0.56)/(($D394*EXP(-$D$1397)+630)^1.19)-(($D394*EXP(-$D$1397)+28)^0.56)/(($D394*EXP(-$D$1397)+530)^1.19)</f>
        <v>#N/A</v>
      </c>
      <c r="G394" s="652" t="e">
        <f ca="1">IF($D$366&gt;=9,0,
$D$376/3*
(4*SUMPRODUCT(((($D394*EXP(-$D$397:$D$1397)+128)^0.56)/(($D394*EXP(-$D$397:$D$1397)+630)^1.19)-(($D394*EXP(-$D$397:$D$1397)+28)^0.56)/(($D394*EXP(-$D$397:$D$1397)+530)^1.19))*(MOD($C$397:$C$1397,2)=1))+
2*SUMPRODUCT(((($D394*EXP(-$D$397:$D$1397)+128)^0.56)/(($D394*EXP(-$D$397:$D$1397)+630)^1.19)-(($D394*EXP(-$D$397:$D$1397)+28)^0.56)/(($D394*EXP(-$D$397:$D$1397)+530)^1.19))*(MOD($C$397:$C$1397,2)=0))-
$F394-$E394)/(100*$C394))</f>
        <v>#N/A</v>
      </c>
      <c r="H394" s="653" t="s">
        <v>485</v>
      </c>
      <c r="I394" s="613"/>
      <c r="J394" s="140"/>
      <c r="K394" s="570"/>
      <c r="O394" s="1223"/>
      <c r="Q394" s="1222"/>
    </row>
    <row r="395" spans="2:17" ht="16" thickBot="1" x14ac:dyDescent="0.45">
      <c r="B395" s="605"/>
      <c r="C395" s="612"/>
      <c r="D395" s="613"/>
      <c r="E395" s="613"/>
      <c r="F395" s="613"/>
      <c r="G395" s="613"/>
      <c r="H395" s="613"/>
      <c r="I395" s="613"/>
      <c r="J395" s="140"/>
      <c r="K395" s="570"/>
      <c r="O395" s="1223"/>
      <c r="Q395" s="1222"/>
    </row>
    <row r="396" spans="2:17" ht="16.5" x14ac:dyDescent="0.4">
      <c r="B396" s="605"/>
      <c r="C396" s="654" t="s">
        <v>556</v>
      </c>
      <c r="D396" s="655" t="s">
        <v>703</v>
      </c>
      <c r="E396" s="613"/>
      <c r="F396" s="613"/>
      <c r="G396" s="613"/>
      <c r="H396" s="613"/>
      <c r="I396" s="613"/>
      <c r="J396" s="140"/>
      <c r="K396" s="570"/>
      <c r="O396" s="1223"/>
      <c r="Q396" s="1222"/>
    </row>
    <row r="397" spans="2:17" x14ac:dyDescent="0.4">
      <c r="B397" s="605"/>
      <c r="C397" s="611">
        <v>0</v>
      </c>
      <c r="D397" s="656" t="e">
        <f t="shared" ref="D397:D460" ca="1" si="84">$C$376*C397</f>
        <v>#N/A</v>
      </c>
      <c r="E397" s="613"/>
      <c r="F397" s="613"/>
      <c r="G397" s="613"/>
      <c r="H397" s="613"/>
      <c r="I397" s="613"/>
      <c r="J397" s="140"/>
      <c r="K397" s="570"/>
      <c r="O397" s="1223"/>
      <c r="Q397" s="1222"/>
    </row>
    <row r="398" spans="2:17" x14ac:dyDescent="0.4">
      <c r="B398" s="605"/>
      <c r="C398" s="611">
        <v>1</v>
      </c>
      <c r="D398" s="656" t="e">
        <f t="shared" ca="1" si="84"/>
        <v>#N/A</v>
      </c>
      <c r="E398" s="613"/>
      <c r="F398" s="613"/>
      <c r="G398" s="613"/>
      <c r="H398" s="613"/>
      <c r="I398" s="613"/>
      <c r="J398" s="140"/>
      <c r="K398" s="570"/>
      <c r="O398" s="1223"/>
      <c r="Q398" s="1222"/>
    </row>
    <row r="399" spans="2:17" x14ac:dyDescent="0.4">
      <c r="B399" s="605"/>
      <c r="C399" s="611">
        <v>2</v>
      </c>
      <c r="D399" s="656" t="e">
        <f t="shared" ca="1" si="84"/>
        <v>#N/A</v>
      </c>
      <c r="E399" s="613"/>
      <c r="F399" s="613"/>
      <c r="G399" s="613"/>
      <c r="H399" s="613"/>
      <c r="I399" s="613"/>
      <c r="J399" s="140"/>
      <c r="K399" s="570"/>
      <c r="O399" s="1223"/>
      <c r="Q399" s="1222"/>
    </row>
    <row r="400" spans="2:17" x14ac:dyDescent="0.4">
      <c r="B400" s="605"/>
      <c r="C400" s="611">
        <v>3</v>
      </c>
      <c r="D400" s="656" t="e">
        <f ca="1">$C$376*C400</f>
        <v>#N/A</v>
      </c>
      <c r="E400" s="613"/>
      <c r="F400" s="613"/>
      <c r="G400" s="613"/>
      <c r="H400" s="613"/>
      <c r="I400" s="613"/>
      <c r="J400" s="140"/>
      <c r="K400" s="570"/>
      <c r="O400" s="1223"/>
      <c r="Q400" s="1222"/>
    </row>
    <row r="401" spans="2:17" x14ac:dyDescent="0.4">
      <c r="B401" s="605"/>
      <c r="C401" s="611">
        <v>4</v>
      </c>
      <c r="D401" s="656" t="e">
        <f t="shared" ca="1" si="84"/>
        <v>#N/A</v>
      </c>
      <c r="E401" s="613"/>
      <c r="F401" s="613"/>
      <c r="G401" s="613"/>
      <c r="H401" s="613"/>
      <c r="I401" s="613"/>
      <c r="J401" s="140"/>
      <c r="K401" s="570"/>
      <c r="O401" s="1223"/>
      <c r="Q401" s="1222"/>
    </row>
    <row r="402" spans="2:17" x14ac:dyDescent="0.4">
      <c r="B402" s="605"/>
      <c r="C402" s="611">
        <v>5</v>
      </c>
      <c r="D402" s="656" t="e">
        <f t="shared" ca="1" si="84"/>
        <v>#N/A</v>
      </c>
      <c r="E402" s="613"/>
      <c r="F402" s="613"/>
      <c r="G402" s="613"/>
      <c r="H402" s="613"/>
      <c r="I402" s="613"/>
      <c r="J402" s="140"/>
      <c r="K402" s="570"/>
      <c r="O402" s="1223"/>
      <c r="Q402" s="1222"/>
    </row>
    <row r="403" spans="2:17" x14ac:dyDescent="0.4">
      <c r="B403" s="605"/>
      <c r="C403" s="611">
        <v>6</v>
      </c>
      <c r="D403" s="656" t="e">
        <f t="shared" ca="1" si="84"/>
        <v>#N/A</v>
      </c>
      <c r="E403" s="613"/>
      <c r="F403" s="613"/>
      <c r="G403" s="613"/>
      <c r="H403" s="613"/>
      <c r="I403" s="613"/>
      <c r="J403" s="140"/>
      <c r="K403" s="570"/>
      <c r="O403" s="1223"/>
      <c r="Q403" s="1222"/>
    </row>
    <row r="404" spans="2:17" x14ac:dyDescent="0.4">
      <c r="B404" s="605"/>
      <c r="C404" s="611">
        <v>7</v>
      </c>
      <c r="D404" s="656" t="e">
        <f t="shared" ca="1" si="84"/>
        <v>#N/A</v>
      </c>
      <c r="E404" s="613"/>
      <c r="F404" s="613"/>
      <c r="G404" s="613"/>
      <c r="H404" s="613"/>
      <c r="I404" s="613"/>
      <c r="J404" s="140"/>
      <c r="K404" s="570"/>
      <c r="O404" s="1223"/>
      <c r="Q404" s="1222"/>
    </row>
    <row r="405" spans="2:17" x14ac:dyDescent="0.4">
      <c r="B405" s="130"/>
      <c r="C405" s="611">
        <v>8</v>
      </c>
      <c r="D405" s="656" t="e">
        <f t="shared" ca="1" si="84"/>
        <v>#N/A</v>
      </c>
      <c r="E405" s="619"/>
      <c r="F405" s="619"/>
      <c r="G405" s="619"/>
      <c r="H405" s="619"/>
      <c r="I405" s="619"/>
      <c r="J405" s="619"/>
      <c r="K405" s="570"/>
      <c r="O405" s="1223"/>
      <c r="Q405" s="1222"/>
    </row>
    <row r="406" spans="2:17" x14ac:dyDescent="0.4">
      <c r="B406" s="130"/>
      <c r="C406" s="611">
        <v>9</v>
      </c>
      <c r="D406" s="656" t="e">
        <f t="shared" ca="1" si="84"/>
        <v>#N/A</v>
      </c>
      <c r="E406" s="620"/>
      <c r="F406" s="620"/>
      <c r="G406" s="620"/>
      <c r="H406" s="620"/>
      <c r="I406" s="620"/>
      <c r="J406" s="620"/>
      <c r="K406" s="570"/>
      <c r="O406" s="1223"/>
      <c r="Q406" s="1222"/>
    </row>
    <row r="407" spans="2:17" x14ac:dyDescent="0.4">
      <c r="B407" s="130"/>
      <c r="C407" s="611">
        <v>10</v>
      </c>
      <c r="D407" s="656" t="e">
        <f t="shared" ca="1" si="84"/>
        <v>#N/A</v>
      </c>
      <c r="E407" s="620"/>
      <c r="F407" s="620"/>
      <c r="G407" s="620"/>
      <c r="H407" s="620"/>
      <c r="I407" s="620"/>
      <c r="J407" s="620"/>
      <c r="K407" s="570"/>
      <c r="O407" s="1223"/>
      <c r="Q407" s="1222"/>
    </row>
    <row r="408" spans="2:17" x14ac:dyDescent="0.4">
      <c r="B408" s="130"/>
      <c r="C408" s="611">
        <v>11</v>
      </c>
      <c r="D408" s="656" t="e">
        <f t="shared" ca="1" si="84"/>
        <v>#N/A</v>
      </c>
      <c r="E408" s="620"/>
      <c r="F408" s="620"/>
      <c r="G408" s="620"/>
      <c r="H408" s="620"/>
      <c r="I408" s="620"/>
      <c r="J408" s="620"/>
      <c r="K408" s="570"/>
      <c r="O408" s="1223"/>
      <c r="Q408" s="1222"/>
    </row>
    <row r="409" spans="2:17" x14ac:dyDescent="0.4">
      <c r="B409" s="130"/>
      <c r="C409" s="611">
        <v>12</v>
      </c>
      <c r="D409" s="656" t="e">
        <f t="shared" ca="1" si="84"/>
        <v>#N/A</v>
      </c>
      <c r="E409" s="620"/>
      <c r="F409" s="620"/>
      <c r="G409" s="620"/>
      <c r="H409" s="620"/>
      <c r="I409" s="620"/>
      <c r="J409" s="620"/>
      <c r="K409" s="570"/>
      <c r="O409" s="1223"/>
      <c r="Q409" s="1222"/>
    </row>
    <row r="410" spans="2:17" x14ac:dyDescent="0.4">
      <c r="B410" s="130"/>
      <c r="C410" s="611">
        <v>13</v>
      </c>
      <c r="D410" s="656" t="e">
        <f t="shared" ca="1" si="84"/>
        <v>#N/A</v>
      </c>
      <c r="E410" s="620"/>
      <c r="F410" s="620"/>
      <c r="G410" s="620"/>
      <c r="H410" s="620"/>
      <c r="I410" s="620"/>
      <c r="J410" s="620"/>
      <c r="K410" s="570"/>
      <c r="O410" s="1223"/>
      <c r="Q410" s="1222"/>
    </row>
    <row r="411" spans="2:17" x14ac:dyDescent="0.4">
      <c r="B411" s="130"/>
      <c r="C411" s="611">
        <v>14</v>
      </c>
      <c r="D411" s="656" t="e">
        <f t="shared" ca="1" si="84"/>
        <v>#N/A</v>
      </c>
      <c r="E411" s="620"/>
      <c r="F411" s="620"/>
      <c r="G411" s="620"/>
      <c r="H411" s="620"/>
      <c r="I411" s="620"/>
      <c r="J411" s="620"/>
      <c r="K411" s="570"/>
      <c r="O411" s="1223"/>
      <c r="Q411" s="1222"/>
    </row>
    <row r="412" spans="2:17" x14ac:dyDescent="0.4">
      <c r="B412" s="130"/>
      <c r="C412" s="611">
        <v>15</v>
      </c>
      <c r="D412" s="656" t="e">
        <f t="shared" ca="1" si="84"/>
        <v>#N/A</v>
      </c>
      <c r="E412" s="620"/>
      <c r="F412" s="620"/>
      <c r="G412" s="620"/>
      <c r="H412" s="620"/>
      <c r="I412" s="620"/>
      <c r="J412" s="620"/>
      <c r="K412" s="570"/>
      <c r="O412" s="1223"/>
      <c r="Q412" s="1222"/>
    </row>
    <row r="413" spans="2:17" x14ac:dyDescent="0.4">
      <c r="B413" s="130"/>
      <c r="C413" s="611">
        <v>16</v>
      </c>
      <c r="D413" s="656" t="e">
        <f t="shared" ca="1" si="84"/>
        <v>#N/A</v>
      </c>
      <c r="E413" s="620"/>
      <c r="F413" s="620"/>
      <c r="G413" s="620"/>
      <c r="H413" s="620"/>
      <c r="I413" s="620"/>
      <c r="J413" s="620"/>
      <c r="K413" s="570"/>
      <c r="O413" s="1223"/>
      <c r="Q413" s="1222"/>
    </row>
    <row r="414" spans="2:17" x14ac:dyDescent="0.4">
      <c r="B414" s="130"/>
      <c r="C414" s="611">
        <v>17</v>
      </c>
      <c r="D414" s="656" t="e">
        <f t="shared" ca="1" si="84"/>
        <v>#N/A</v>
      </c>
      <c r="E414" s="620"/>
      <c r="F414" s="620"/>
      <c r="G414" s="620"/>
      <c r="H414" s="620"/>
      <c r="I414" s="620"/>
      <c r="J414" s="620"/>
      <c r="K414" s="570"/>
      <c r="O414" s="1223"/>
      <c r="Q414" s="1222"/>
    </row>
    <row r="415" spans="2:17" x14ac:dyDescent="0.4">
      <c r="B415" s="130"/>
      <c r="C415" s="611">
        <v>18</v>
      </c>
      <c r="D415" s="656" t="e">
        <f t="shared" ca="1" si="84"/>
        <v>#N/A</v>
      </c>
      <c r="E415" s="620"/>
      <c r="F415" s="620"/>
      <c r="G415" s="620"/>
      <c r="H415" s="620"/>
      <c r="I415" s="620"/>
      <c r="J415" s="620"/>
      <c r="K415" s="570"/>
      <c r="O415" s="1223"/>
      <c r="Q415" s="1222"/>
    </row>
    <row r="416" spans="2:17" x14ac:dyDescent="0.4">
      <c r="B416" s="130"/>
      <c r="C416" s="611">
        <v>19</v>
      </c>
      <c r="D416" s="656" t="e">
        <f t="shared" ca="1" si="84"/>
        <v>#N/A</v>
      </c>
      <c r="E416" s="620"/>
      <c r="F416" s="620"/>
      <c r="G416" s="620"/>
      <c r="H416" s="620"/>
      <c r="I416" s="620"/>
      <c r="J416" s="620"/>
      <c r="K416" s="570"/>
      <c r="O416" s="1223"/>
      <c r="Q416" s="1222"/>
    </row>
    <row r="417" spans="2:17" x14ac:dyDescent="0.4">
      <c r="B417" s="130"/>
      <c r="C417" s="611">
        <v>20</v>
      </c>
      <c r="D417" s="656" t="e">
        <f t="shared" ca="1" si="84"/>
        <v>#N/A</v>
      </c>
      <c r="E417" s="620"/>
      <c r="F417" s="620"/>
      <c r="G417" s="620"/>
      <c r="H417" s="620"/>
      <c r="I417" s="620"/>
      <c r="J417" s="620"/>
      <c r="K417" s="570"/>
      <c r="O417" s="1223"/>
      <c r="Q417" s="1222"/>
    </row>
    <row r="418" spans="2:17" x14ac:dyDescent="0.4">
      <c r="B418" s="130"/>
      <c r="C418" s="611">
        <v>21</v>
      </c>
      <c r="D418" s="656" t="e">
        <f t="shared" ca="1" si="84"/>
        <v>#N/A</v>
      </c>
      <c r="E418" s="620"/>
      <c r="F418" s="620"/>
      <c r="G418" s="620"/>
      <c r="H418" s="620"/>
      <c r="I418" s="620"/>
      <c r="J418" s="620"/>
      <c r="K418" s="570"/>
      <c r="O418" s="1223"/>
      <c r="Q418" s="1222"/>
    </row>
    <row r="419" spans="2:17" x14ac:dyDescent="0.4">
      <c r="B419" s="130"/>
      <c r="C419" s="611">
        <v>22</v>
      </c>
      <c r="D419" s="656" t="e">
        <f t="shared" ca="1" si="84"/>
        <v>#N/A</v>
      </c>
      <c r="E419" s="620"/>
      <c r="F419" s="620"/>
      <c r="G419" s="620"/>
      <c r="H419" s="620"/>
      <c r="I419" s="620"/>
      <c r="J419" s="620"/>
      <c r="K419" s="570"/>
      <c r="O419" s="1223"/>
      <c r="Q419" s="1222"/>
    </row>
    <row r="420" spans="2:17" x14ac:dyDescent="0.4">
      <c r="B420" s="130"/>
      <c r="C420" s="611">
        <v>23</v>
      </c>
      <c r="D420" s="656" t="e">
        <f t="shared" ca="1" si="84"/>
        <v>#N/A</v>
      </c>
      <c r="E420" s="620"/>
      <c r="F420" s="620"/>
      <c r="G420" s="620"/>
      <c r="H420" s="620"/>
      <c r="I420" s="620"/>
      <c r="J420" s="620"/>
      <c r="K420" s="570"/>
      <c r="O420" s="1223"/>
      <c r="Q420" s="1222"/>
    </row>
    <row r="421" spans="2:17" x14ac:dyDescent="0.4">
      <c r="B421" s="130"/>
      <c r="C421" s="611">
        <v>24</v>
      </c>
      <c r="D421" s="656" t="e">
        <f t="shared" ca="1" si="84"/>
        <v>#N/A</v>
      </c>
      <c r="E421" s="620"/>
      <c r="F421" s="620"/>
      <c r="G421" s="620"/>
      <c r="H421" s="620"/>
      <c r="I421" s="620"/>
      <c r="J421" s="620"/>
      <c r="K421" s="570"/>
      <c r="O421" s="1223"/>
      <c r="Q421" s="1222"/>
    </row>
    <row r="422" spans="2:17" x14ac:dyDescent="0.4">
      <c r="B422" s="130"/>
      <c r="C422" s="611">
        <v>25</v>
      </c>
      <c r="D422" s="656" t="e">
        <f t="shared" ca="1" si="84"/>
        <v>#N/A</v>
      </c>
      <c r="E422" s="620"/>
      <c r="F422" s="620"/>
      <c r="G422" s="620"/>
      <c r="H422" s="620"/>
      <c r="I422" s="620"/>
      <c r="J422" s="620"/>
      <c r="K422" s="570"/>
      <c r="O422" s="1223"/>
      <c r="Q422" s="1222"/>
    </row>
    <row r="423" spans="2:17" x14ac:dyDescent="0.4">
      <c r="B423" s="130"/>
      <c r="C423" s="611">
        <v>26</v>
      </c>
      <c r="D423" s="656" t="e">
        <f t="shared" ca="1" si="84"/>
        <v>#N/A</v>
      </c>
      <c r="E423" s="620"/>
      <c r="F423" s="620"/>
      <c r="G423" s="620"/>
      <c r="H423" s="620"/>
      <c r="I423" s="620"/>
      <c r="J423" s="620"/>
      <c r="K423" s="570"/>
      <c r="O423" s="1223"/>
      <c r="Q423" s="1222"/>
    </row>
    <row r="424" spans="2:17" x14ac:dyDescent="0.4">
      <c r="B424" s="130"/>
      <c r="C424" s="611">
        <v>27</v>
      </c>
      <c r="D424" s="656" t="e">
        <f t="shared" ca="1" si="84"/>
        <v>#N/A</v>
      </c>
      <c r="E424" s="620"/>
      <c r="F424" s="620"/>
      <c r="G424" s="620"/>
      <c r="H424" s="620"/>
      <c r="I424" s="620"/>
      <c r="J424" s="620"/>
      <c r="K424" s="570"/>
      <c r="O424" s="1223"/>
      <c r="Q424" s="1222"/>
    </row>
    <row r="425" spans="2:17" x14ac:dyDescent="0.4">
      <c r="B425" s="130"/>
      <c r="C425" s="611">
        <v>28</v>
      </c>
      <c r="D425" s="656" t="e">
        <f t="shared" ca="1" si="84"/>
        <v>#N/A</v>
      </c>
      <c r="E425" s="620"/>
      <c r="F425" s="620"/>
      <c r="G425" s="620"/>
      <c r="H425" s="620"/>
      <c r="I425" s="620"/>
      <c r="J425" s="620"/>
      <c r="K425" s="570"/>
      <c r="O425" s="1223"/>
      <c r="Q425" s="1222"/>
    </row>
    <row r="426" spans="2:17" x14ac:dyDescent="0.4">
      <c r="B426" s="130"/>
      <c r="C426" s="611">
        <v>29</v>
      </c>
      <c r="D426" s="656" t="e">
        <f t="shared" ca="1" si="84"/>
        <v>#N/A</v>
      </c>
      <c r="E426" s="620"/>
      <c r="F426" s="620"/>
      <c r="G426" s="620"/>
      <c r="H426" s="620"/>
      <c r="I426" s="620"/>
      <c r="J426" s="620"/>
      <c r="K426" s="570"/>
      <c r="O426" s="1223"/>
      <c r="Q426" s="1222"/>
    </row>
    <row r="427" spans="2:17" x14ac:dyDescent="0.4">
      <c r="B427" s="130"/>
      <c r="C427" s="611">
        <v>30</v>
      </c>
      <c r="D427" s="656" t="e">
        <f t="shared" ca="1" si="84"/>
        <v>#N/A</v>
      </c>
      <c r="E427" s="620"/>
      <c r="F427" s="620"/>
      <c r="G427" s="620"/>
      <c r="H427" s="620"/>
      <c r="I427" s="620"/>
      <c r="J427" s="620"/>
      <c r="K427" s="570"/>
      <c r="O427" s="1223"/>
      <c r="Q427" s="1222"/>
    </row>
    <row r="428" spans="2:17" x14ac:dyDescent="0.4">
      <c r="B428" s="130"/>
      <c r="C428" s="611">
        <v>31</v>
      </c>
      <c r="D428" s="656" t="e">
        <f t="shared" ca="1" si="84"/>
        <v>#N/A</v>
      </c>
      <c r="E428" s="620"/>
      <c r="F428" s="620"/>
      <c r="G428" s="620"/>
      <c r="H428" s="620"/>
      <c r="I428" s="620"/>
      <c r="J428" s="620"/>
      <c r="K428" s="570"/>
      <c r="O428" s="1223"/>
      <c r="Q428" s="1222"/>
    </row>
    <row r="429" spans="2:17" x14ac:dyDescent="0.4">
      <c r="B429" s="130"/>
      <c r="C429" s="611">
        <v>32</v>
      </c>
      <c r="D429" s="656" t="e">
        <f t="shared" ca="1" si="84"/>
        <v>#N/A</v>
      </c>
      <c r="E429" s="620"/>
      <c r="F429" s="620"/>
      <c r="G429" s="620"/>
      <c r="H429" s="620"/>
      <c r="I429" s="620"/>
      <c r="J429" s="620"/>
      <c r="K429" s="570"/>
      <c r="O429" s="1223"/>
      <c r="Q429" s="1222"/>
    </row>
    <row r="430" spans="2:17" x14ac:dyDescent="0.4">
      <c r="B430" s="130"/>
      <c r="C430" s="611">
        <v>33</v>
      </c>
      <c r="D430" s="656" t="e">
        <f t="shared" ca="1" si="84"/>
        <v>#N/A</v>
      </c>
      <c r="E430" s="620"/>
      <c r="F430" s="620"/>
      <c r="G430" s="620"/>
      <c r="H430" s="620"/>
      <c r="I430" s="620"/>
      <c r="J430" s="620"/>
      <c r="K430" s="570"/>
      <c r="O430" s="1223"/>
      <c r="Q430" s="1222"/>
    </row>
    <row r="431" spans="2:17" x14ac:dyDescent="0.4">
      <c r="B431" s="130"/>
      <c r="C431" s="611">
        <v>34</v>
      </c>
      <c r="D431" s="656" t="e">
        <f t="shared" ca="1" si="84"/>
        <v>#N/A</v>
      </c>
      <c r="E431" s="620"/>
      <c r="F431" s="620"/>
      <c r="G431" s="620"/>
      <c r="H431" s="620"/>
      <c r="I431" s="620"/>
      <c r="J431" s="620"/>
      <c r="K431" s="570"/>
      <c r="O431" s="1223"/>
      <c r="Q431" s="1222"/>
    </row>
    <row r="432" spans="2:17" x14ac:dyDescent="0.4">
      <c r="B432" s="130"/>
      <c r="C432" s="611">
        <v>35</v>
      </c>
      <c r="D432" s="656" t="e">
        <f t="shared" ca="1" si="84"/>
        <v>#N/A</v>
      </c>
      <c r="E432" s="620"/>
      <c r="F432" s="620"/>
      <c r="G432" s="620"/>
      <c r="H432" s="620"/>
      <c r="I432" s="620"/>
      <c r="J432" s="620"/>
      <c r="K432" s="570"/>
      <c r="O432" s="1223"/>
      <c r="Q432" s="1222"/>
    </row>
    <row r="433" spans="2:17" x14ac:dyDescent="0.4">
      <c r="B433" s="130"/>
      <c r="C433" s="611">
        <v>36</v>
      </c>
      <c r="D433" s="656" t="e">
        <f t="shared" ca="1" si="84"/>
        <v>#N/A</v>
      </c>
      <c r="E433" s="620"/>
      <c r="F433" s="620"/>
      <c r="G433" s="620"/>
      <c r="H433" s="620"/>
      <c r="I433" s="620"/>
      <c r="J433" s="620"/>
      <c r="K433" s="570"/>
      <c r="O433" s="1223"/>
      <c r="Q433" s="1222"/>
    </row>
    <row r="434" spans="2:17" x14ac:dyDescent="0.4">
      <c r="B434" s="130"/>
      <c r="C434" s="611">
        <v>37</v>
      </c>
      <c r="D434" s="656" t="e">
        <f t="shared" ca="1" si="84"/>
        <v>#N/A</v>
      </c>
      <c r="E434" s="620"/>
      <c r="F434" s="620"/>
      <c r="G434" s="620"/>
      <c r="H434" s="620"/>
      <c r="I434" s="620"/>
      <c r="J434" s="620"/>
      <c r="K434" s="570"/>
      <c r="O434" s="1223"/>
      <c r="Q434" s="1222"/>
    </row>
    <row r="435" spans="2:17" x14ac:dyDescent="0.4">
      <c r="B435" s="130"/>
      <c r="C435" s="611">
        <v>38</v>
      </c>
      <c r="D435" s="656" t="e">
        <f t="shared" ca="1" si="84"/>
        <v>#N/A</v>
      </c>
      <c r="E435" s="620"/>
      <c r="F435" s="620"/>
      <c r="G435" s="620"/>
      <c r="H435" s="620"/>
      <c r="I435" s="620"/>
      <c r="J435" s="620"/>
      <c r="K435" s="570"/>
      <c r="O435" s="1223"/>
      <c r="Q435" s="1222"/>
    </row>
    <row r="436" spans="2:17" x14ac:dyDescent="0.4">
      <c r="B436" s="130"/>
      <c r="C436" s="611">
        <v>39</v>
      </c>
      <c r="D436" s="656" t="e">
        <f t="shared" ca="1" si="84"/>
        <v>#N/A</v>
      </c>
      <c r="E436" s="620"/>
      <c r="F436" s="620"/>
      <c r="G436" s="620"/>
      <c r="H436" s="620"/>
      <c r="I436" s="620"/>
      <c r="J436" s="620"/>
      <c r="K436" s="570"/>
      <c r="O436" s="1223"/>
      <c r="Q436" s="1222"/>
    </row>
    <row r="437" spans="2:17" x14ac:dyDescent="0.4">
      <c r="B437" s="130"/>
      <c r="C437" s="611">
        <v>40</v>
      </c>
      <c r="D437" s="656" t="e">
        <f t="shared" ca="1" si="84"/>
        <v>#N/A</v>
      </c>
      <c r="E437" s="620"/>
      <c r="F437" s="620"/>
      <c r="G437" s="620"/>
      <c r="H437" s="620"/>
      <c r="I437" s="620"/>
      <c r="J437" s="620"/>
      <c r="K437" s="570"/>
      <c r="O437" s="1223"/>
      <c r="Q437" s="1222"/>
    </row>
    <row r="438" spans="2:17" x14ac:dyDescent="0.4">
      <c r="B438" s="130"/>
      <c r="C438" s="611">
        <v>41</v>
      </c>
      <c r="D438" s="656" t="e">
        <f t="shared" ca="1" si="84"/>
        <v>#N/A</v>
      </c>
      <c r="E438" s="620"/>
      <c r="F438" s="620"/>
      <c r="G438" s="620"/>
      <c r="H438" s="620"/>
      <c r="I438" s="620"/>
      <c r="J438" s="620"/>
      <c r="K438" s="570"/>
      <c r="O438" s="1223"/>
      <c r="Q438" s="1222"/>
    </row>
    <row r="439" spans="2:17" x14ac:dyDescent="0.4">
      <c r="B439" s="130"/>
      <c r="C439" s="611">
        <v>42</v>
      </c>
      <c r="D439" s="656" t="e">
        <f t="shared" ca="1" si="84"/>
        <v>#N/A</v>
      </c>
      <c r="E439" s="620"/>
      <c r="F439" s="620"/>
      <c r="G439" s="620"/>
      <c r="H439" s="620"/>
      <c r="I439" s="620"/>
      <c r="J439" s="620"/>
      <c r="K439" s="570"/>
      <c r="O439" s="1223"/>
      <c r="Q439" s="1222"/>
    </row>
    <row r="440" spans="2:17" x14ac:dyDescent="0.4">
      <c r="B440" s="130"/>
      <c r="C440" s="611">
        <v>43</v>
      </c>
      <c r="D440" s="656" t="e">
        <f t="shared" ca="1" si="84"/>
        <v>#N/A</v>
      </c>
      <c r="E440" s="620"/>
      <c r="F440" s="620"/>
      <c r="G440" s="620"/>
      <c r="H440" s="620"/>
      <c r="I440" s="620"/>
      <c r="J440" s="620"/>
      <c r="K440" s="570"/>
      <c r="O440" s="1223"/>
      <c r="Q440" s="1222"/>
    </row>
    <row r="441" spans="2:17" x14ac:dyDescent="0.4">
      <c r="B441" s="130"/>
      <c r="C441" s="611">
        <v>44</v>
      </c>
      <c r="D441" s="656" t="e">
        <f t="shared" ca="1" si="84"/>
        <v>#N/A</v>
      </c>
      <c r="E441" s="620"/>
      <c r="F441" s="620"/>
      <c r="G441" s="620"/>
      <c r="H441" s="620"/>
      <c r="I441" s="620"/>
      <c r="J441" s="620"/>
      <c r="K441" s="570"/>
      <c r="O441" s="1223"/>
      <c r="Q441" s="1222"/>
    </row>
    <row r="442" spans="2:17" x14ac:dyDescent="0.4">
      <c r="B442" s="130"/>
      <c r="C442" s="611">
        <v>45</v>
      </c>
      <c r="D442" s="656" t="e">
        <f t="shared" ca="1" si="84"/>
        <v>#N/A</v>
      </c>
      <c r="E442" s="620"/>
      <c r="F442" s="620"/>
      <c r="G442" s="620"/>
      <c r="H442" s="620"/>
      <c r="I442" s="620"/>
      <c r="J442" s="620"/>
      <c r="K442" s="570"/>
      <c r="O442" s="1223"/>
      <c r="Q442" s="1222"/>
    </row>
    <row r="443" spans="2:17" x14ac:dyDescent="0.4">
      <c r="B443" s="130"/>
      <c r="C443" s="611">
        <v>46</v>
      </c>
      <c r="D443" s="656" t="e">
        <f t="shared" ca="1" si="84"/>
        <v>#N/A</v>
      </c>
      <c r="E443" s="620"/>
      <c r="F443" s="620"/>
      <c r="G443" s="620"/>
      <c r="H443" s="620"/>
      <c r="I443" s="620"/>
      <c r="J443" s="620"/>
      <c r="K443" s="570"/>
      <c r="O443" s="1223"/>
      <c r="Q443" s="1222"/>
    </row>
    <row r="444" spans="2:17" x14ac:dyDescent="0.4">
      <c r="B444" s="130"/>
      <c r="C444" s="611">
        <v>47</v>
      </c>
      <c r="D444" s="656" t="e">
        <f t="shared" ca="1" si="84"/>
        <v>#N/A</v>
      </c>
      <c r="E444" s="620"/>
      <c r="F444" s="620"/>
      <c r="G444" s="620"/>
      <c r="H444" s="620"/>
      <c r="I444" s="620"/>
      <c r="J444" s="620"/>
      <c r="K444" s="570"/>
      <c r="O444" s="1223"/>
      <c r="Q444" s="1222"/>
    </row>
    <row r="445" spans="2:17" x14ac:dyDescent="0.4">
      <c r="B445" s="130"/>
      <c r="C445" s="611">
        <v>48</v>
      </c>
      <c r="D445" s="656" t="e">
        <f t="shared" ca="1" si="84"/>
        <v>#N/A</v>
      </c>
      <c r="E445" s="620"/>
      <c r="F445" s="620"/>
      <c r="G445" s="620"/>
      <c r="H445" s="620"/>
      <c r="I445" s="620"/>
      <c r="J445" s="620"/>
      <c r="K445" s="570"/>
      <c r="O445" s="1223"/>
      <c r="Q445" s="1222"/>
    </row>
    <row r="446" spans="2:17" x14ac:dyDescent="0.4">
      <c r="B446" s="130"/>
      <c r="C446" s="611">
        <v>49</v>
      </c>
      <c r="D446" s="656" t="e">
        <f t="shared" ca="1" si="84"/>
        <v>#N/A</v>
      </c>
      <c r="E446" s="620"/>
      <c r="F446" s="620"/>
      <c r="G446" s="620"/>
      <c r="H446" s="620"/>
      <c r="I446" s="620"/>
      <c r="J446" s="620"/>
      <c r="K446" s="570"/>
      <c r="O446" s="1223"/>
      <c r="Q446" s="1222"/>
    </row>
    <row r="447" spans="2:17" x14ac:dyDescent="0.4">
      <c r="B447" s="130"/>
      <c r="C447" s="611">
        <v>50</v>
      </c>
      <c r="D447" s="656" t="e">
        <f t="shared" ca="1" si="84"/>
        <v>#N/A</v>
      </c>
      <c r="E447" s="620"/>
      <c r="F447" s="620"/>
      <c r="G447" s="620"/>
      <c r="H447" s="620"/>
      <c r="I447" s="620"/>
      <c r="J447" s="620"/>
      <c r="K447" s="570"/>
      <c r="O447" s="1223"/>
      <c r="Q447" s="1222"/>
    </row>
    <row r="448" spans="2:17" x14ac:dyDescent="0.4">
      <c r="B448" s="130"/>
      <c r="C448" s="611">
        <v>51</v>
      </c>
      <c r="D448" s="656" t="e">
        <f t="shared" ca="1" si="84"/>
        <v>#N/A</v>
      </c>
      <c r="E448" s="620"/>
      <c r="F448" s="620"/>
      <c r="G448" s="620"/>
      <c r="H448" s="620"/>
      <c r="I448" s="620"/>
      <c r="J448" s="620"/>
      <c r="K448" s="570"/>
      <c r="O448" s="1223"/>
      <c r="Q448" s="1222"/>
    </row>
    <row r="449" spans="2:17" x14ac:dyDescent="0.4">
      <c r="B449" s="130"/>
      <c r="C449" s="611">
        <v>52</v>
      </c>
      <c r="D449" s="656" t="e">
        <f t="shared" ca="1" si="84"/>
        <v>#N/A</v>
      </c>
      <c r="E449" s="620"/>
      <c r="F449" s="620"/>
      <c r="G449" s="620"/>
      <c r="H449" s="620"/>
      <c r="I449" s="620"/>
      <c r="J449" s="620"/>
      <c r="K449" s="570"/>
      <c r="O449" s="1223"/>
      <c r="Q449" s="1222"/>
    </row>
    <row r="450" spans="2:17" x14ac:dyDescent="0.4">
      <c r="B450" s="130"/>
      <c r="C450" s="611">
        <v>53</v>
      </c>
      <c r="D450" s="656" t="e">
        <f t="shared" ca="1" si="84"/>
        <v>#N/A</v>
      </c>
      <c r="E450" s="620"/>
      <c r="F450" s="620"/>
      <c r="G450" s="620"/>
      <c r="H450" s="620"/>
      <c r="I450" s="620"/>
      <c r="J450" s="620"/>
      <c r="K450" s="570"/>
      <c r="O450" s="1223"/>
      <c r="Q450" s="1222"/>
    </row>
    <row r="451" spans="2:17" x14ac:dyDescent="0.4">
      <c r="B451" s="130"/>
      <c r="C451" s="611">
        <v>54</v>
      </c>
      <c r="D451" s="656" t="e">
        <f t="shared" ca="1" si="84"/>
        <v>#N/A</v>
      </c>
      <c r="E451" s="620"/>
      <c r="F451" s="620"/>
      <c r="G451" s="620"/>
      <c r="H451" s="620"/>
      <c r="I451" s="620"/>
      <c r="J451" s="620"/>
      <c r="K451" s="570"/>
      <c r="O451" s="1223"/>
      <c r="Q451" s="1222"/>
    </row>
    <row r="452" spans="2:17" x14ac:dyDescent="0.4">
      <c r="B452" s="130"/>
      <c r="C452" s="611">
        <v>55</v>
      </c>
      <c r="D452" s="656" t="e">
        <f t="shared" ca="1" si="84"/>
        <v>#N/A</v>
      </c>
      <c r="E452" s="620"/>
      <c r="F452" s="620"/>
      <c r="G452" s="620"/>
      <c r="H452" s="620"/>
      <c r="I452" s="620"/>
      <c r="J452" s="620"/>
      <c r="K452" s="570"/>
      <c r="O452" s="1223"/>
      <c r="Q452" s="1222"/>
    </row>
    <row r="453" spans="2:17" x14ac:dyDescent="0.4">
      <c r="B453" s="130"/>
      <c r="C453" s="611">
        <v>56</v>
      </c>
      <c r="D453" s="656" t="e">
        <f t="shared" ca="1" si="84"/>
        <v>#N/A</v>
      </c>
      <c r="E453" s="620"/>
      <c r="F453" s="620"/>
      <c r="G453" s="620"/>
      <c r="H453" s="620"/>
      <c r="I453" s="620"/>
      <c r="J453" s="620"/>
      <c r="K453" s="570"/>
      <c r="O453" s="1223"/>
      <c r="Q453" s="1222"/>
    </row>
    <row r="454" spans="2:17" x14ac:dyDescent="0.4">
      <c r="B454" s="130"/>
      <c r="C454" s="611">
        <v>57</v>
      </c>
      <c r="D454" s="656" t="e">
        <f t="shared" ca="1" si="84"/>
        <v>#N/A</v>
      </c>
      <c r="E454" s="620"/>
      <c r="F454" s="620"/>
      <c r="G454" s="620"/>
      <c r="H454" s="620"/>
      <c r="I454" s="620"/>
      <c r="J454" s="620"/>
      <c r="K454" s="570"/>
      <c r="O454" s="1223"/>
      <c r="Q454" s="1222"/>
    </row>
    <row r="455" spans="2:17" x14ac:dyDescent="0.4">
      <c r="B455" s="130"/>
      <c r="C455" s="611">
        <v>58</v>
      </c>
      <c r="D455" s="656" t="e">
        <f t="shared" ca="1" si="84"/>
        <v>#N/A</v>
      </c>
      <c r="E455" s="620"/>
      <c r="F455" s="620"/>
      <c r="G455" s="620"/>
      <c r="H455" s="620"/>
      <c r="I455" s="620"/>
      <c r="J455" s="620"/>
      <c r="K455" s="570"/>
      <c r="O455" s="1223"/>
      <c r="Q455" s="1222"/>
    </row>
    <row r="456" spans="2:17" x14ac:dyDescent="0.4">
      <c r="B456" s="130"/>
      <c r="C456" s="611">
        <v>59</v>
      </c>
      <c r="D456" s="656" t="e">
        <f t="shared" ca="1" si="84"/>
        <v>#N/A</v>
      </c>
      <c r="E456" s="620"/>
      <c r="F456" s="620"/>
      <c r="G456" s="620"/>
      <c r="H456" s="620"/>
      <c r="I456" s="620"/>
      <c r="J456" s="620"/>
      <c r="K456" s="570"/>
      <c r="O456" s="1223"/>
      <c r="Q456" s="1222"/>
    </row>
    <row r="457" spans="2:17" x14ac:dyDescent="0.4">
      <c r="B457" s="130"/>
      <c r="C457" s="611">
        <v>60</v>
      </c>
      <c r="D457" s="656" t="e">
        <f t="shared" ca="1" si="84"/>
        <v>#N/A</v>
      </c>
      <c r="E457" s="620"/>
      <c r="F457" s="620"/>
      <c r="G457" s="620"/>
      <c r="H457" s="620"/>
      <c r="I457" s="620"/>
      <c r="J457" s="620"/>
      <c r="K457" s="570"/>
      <c r="O457" s="1223"/>
      <c r="Q457" s="1222"/>
    </row>
    <row r="458" spans="2:17" x14ac:dyDescent="0.4">
      <c r="B458" s="130"/>
      <c r="C458" s="611">
        <v>61</v>
      </c>
      <c r="D458" s="656" t="e">
        <f t="shared" ca="1" si="84"/>
        <v>#N/A</v>
      </c>
      <c r="E458" s="620"/>
      <c r="F458" s="620"/>
      <c r="G458" s="620"/>
      <c r="H458" s="620"/>
      <c r="I458" s="620"/>
      <c r="J458" s="620"/>
      <c r="K458" s="570"/>
      <c r="O458" s="1223"/>
      <c r="Q458" s="1222"/>
    </row>
    <row r="459" spans="2:17" x14ac:dyDescent="0.4">
      <c r="B459" s="130"/>
      <c r="C459" s="611">
        <v>62</v>
      </c>
      <c r="D459" s="656" t="e">
        <f t="shared" ca="1" si="84"/>
        <v>#N/A</v>
      </c>
      <c r="E459" s="620"/>
      <c r="F459" s="620"/>
      <c r="G459" s="620"/>
      <c r="H459" s="620"/>
      <c r="I459" s="620"/>
      <c r="J459" s="620"/>
      <c r="K459" s="570"/>
      <c r="O459" s="1223"/>
      <c r="Q459" s="1222"/>
    </row>
    <row r="460" spans="2:17" x14ac:dyDescent="0.4">
      <c r="B460" s="130"/>
      <c r="C460" s="611">
        <v>63</v>
      </c>
      <c r="D460" s="656" t="e">
        <f t="shared" ca="1" si="84"/>
        <v>#N/A</v>
      </c>
      <c r="E460" s="620"/>
      <c r="F460" s="620"/>
      <c r="G460" s="620"/>
      <c r="H460" s="620"/>
      <c r="I460" s="620"/>
      <c r="J460" s="620"/>
      <c r="K460" s="570"/>
      <c r="O460" s="1223"/>
      <c r="Q460" s="1222"/>
    </row>
    <row r="461" spans="2:17" x14ac:dyDescent="0.4">
      <c r="B461" s="130"/>
      <c r="C461" s="611">
        <v>64</v>
      </c>
      <c r="D461" s="656" t="e">
        <f t="shared" ref="D461:D524" ca="1" si="85">$C$376*C461</f>
        <v>#N/A</v>
      </c>
      <c r="E461" s="620"/>
      <c r="F461" s="620"/>
      <c r="G461" s="620"/>
      <c r="H461" s="620"/>
      <c r="I461" s="620"/>
      <c r="J461" s="620"/>
      <c r="K461" s="570"/>
      <c r="O461" s="1223"/>
      <c r="Q461" s="1222"/>
    </row>
    <row r="462" spans="2:17" x14ac:dyDescent="0.4">
      <c r="B462" s="130"/>
      <c r="C462" s="611">
        <v>65</v>
      </c>
      <c r="D462" s="656" t="e">
        <f t="shared" ca="1" si="85"/>
        <v>#N/A</v>
      </c>
      <c r="E462" s="620"/>
      <c r="F462" s="620"/>
      <c r="G462" s="620"/>
      <c r="H462" s="620"/>
      <c r="I462" s="620"/>
      <c r="J462" s="620"/>
      <c r="K462" s="570"/>
      <c r="O462" s="1223"/>
      <c r="Q462" s="1222"/>
    </row>
    <row r="463" spans="2:17" x14ac:dyDescent="0.4">
      <c r="B463" s="130"/>
      <c r="C463" s="611">
        <v>66</v>
      </c>
      <c r="D463" s="656" t="e">
        <f t="shared" ca="1" si="85"/>
        <v>#N/A</v>
      </c>
      <c r="E463" s="620"/>
      <c r="F463" s="620"/>
      <c r="G463" s="620"/>
      <c r="H463" s="620"/>
      <c r="I463" s="620"/>
      <c r="J463" s="620"/>
      <c r="K463" s="570"/>
      <c r="O463" s="1223"/>
      <c r="Q463" s="1222"/>
    </row>
    <row r="464" spans="2:17" x14ac:dyDescent="0.4">
      <c r="B464" s="130"/>
      <c r="C464" s="611">
        <v>67</v>
      </c>
      <c r="D464" s="656" t="e">
        <f t="shared" ca="1" si="85"/>
        <v>#N/A</v>
      </c>
      <c r="E464" s="620"/>
      <c r="F464" s="620"/>
      <c r="G464" s="620"/>
      <c r="H464" s="620"/>
      <c r="I464" s="620"/>
      <c r="J464" s="620"/>
      <c r="K464" s="570"/>
      <c r="O464" s="1223"/>
      <c r="Q464" s="1222"/>
    </row>
    <row r="465" spans="2:17" x14ac:dyDescent="0.4">
      <c r="B465" s="130"/>
      <c r="C465" s="611">
        <v>68</v>
      </c>
      <c r="D465" s="656" t="e">
        <f t="shared" ca="1" si="85"/>
        <v>#N/A</v>
      </c>
      <c r="E465" s="620"/>
      <c r="F465" s="620"/>
      <c r="G465" s="620"/>
      <c r="H465" s="620"/>
      <c r="I465" s="620"/>
      <c r="J465" s="620"/>
      <c r="K465" s="570"/>
      <c r="O465" s="1223"/>
      <c r="Q465" s="1222"/>
    </row>
    <row r="466" spans="2:17" x14ac:dyDescent="0.4">
      <c r="B466" s="130"/>
      <c r="C466" s="611">
        <v>69</v>
      </c>
      <c r="D466" s="656" t="e">
        <f t="shared" ca="1" si="85"/>
        <v>#N/A</v>
      </c>
      <c r="E466" s="620"/>
      <c r="F466" s="620"/>
      <c r="G466" s="620"/>
      <c r="H466" s="620"/>
      <c r="I466" s="620"/>
      <c r="J466" s="620"/>
      <c r="K466" s="570"/>
      <c r="O466" s="1223"/>
      <c r="Q466" s="1222"/>
    </row>
    <row r="467" spans="2:17" x14ac:dyDescent="0.4">
      <c r="B467" s="130"/>
      <c r="C467" s="611">
        <v>70</v>
      </c>
      <c r="D467" s="656" t="e">
        <f t="shared" ca="1" si="85"/>
        <v>#N/A</v>
      </c>
      <c r="E467" s="620"/>
      <c r="F467" s="620"/>
      <c r="G467" s="620"/>
      <c r="H467" s="620"/>
      <c r="I467" s="620"/>
      <c r="J467" s="620"/>
      <c r="K467" s="570"/>
      <c r="O467" s="1223"/>
      <c r="Q467" s="1222"/>
    </row>
    <row r="468" spans="2:17" x14ac:dyDescent="0.4">
      <c r="B468" s="130"/>
      <c r="C468" s="611">
        <v>71</v>
      </c>
      <c r="D468" s="656" t="e">
        <f t="shared" ca="1" si="85"/>
        <v>#N/A</v>
      </c>
      <c r="E468" s="620"/>
      <c r="F468" s="620"/>
      <c r="G468" s="620"/>
      <c r="H468" s="620"/>
      <c r="I468" s="620"/>
      <c r="J468" s="620"/>
      <c r="K468" s="570"/>
      <c r="O468" s="1223"/>
      <c r="Q468" s="1222"/>
    </row>
    <row r="469" spans="2:17" x14ac:dyDescent="0.4">
      <c r="B469" s="130"/>
      <c r="C469" s="611">
        <v>72</v>
      </c>
      <c r="D469" s="656" t="e">
        <f t="shared" ca="1" si="85"/>
        <v>#N/A</v>
      </c>
      <c r="E469" s="620"/>
      <c r="F469" s="620"/>
      <c r="G469" s="620"/>
      <c r="H469" s="620"/>
      <c r="I469" s="620"/>
      <c r="J469" s="620"/>
      <c r="K469" s="570"/>
      <c r="O469" s="1223"/>
      <c r="Q469" s="1222"/>
    </row>
    <row r="470" spans="2:17" x14ac:dyDescent="0.4">
      <c r="B470" s="130"/>
      <c r="C470" s="611">
        <v>73</v>
      </c>
      <c r="D470" s="656" t="e">
        <f t="shared" ca="1" si="85"/>
        <v>#N/A</v>
      </c>
      <c r="E470" s="620"/>
      <c r="F470" s="620"/>
      <c r="G470" s="620"/>
      <c r="H470" s="620"/>
      <c r="I470" s="620"/>
      <c r="J470" s="620"/>
      <c r="K470" s="570"/>
      <c r="O470" s="1223"/>
      <c r="Q470" s="1222"/>
    </row>
    <row r="471" spans="2:17" x14ac:dyDescent="0.4">
      <c r="B471" s="130"/>
      <c r="C471" s="611">
        <v>74</v>
      </c>
      <c r="D471" s="656" t="e">
        <f t="shared" ca="1" si="85"/>
        <v>#N/A</v>
      </c>
      <c r="E471" s="620"/>
      <c r="F471" s="620"/>
      <c r="G471" s="620"/>
      <c r="H471" s="620"/>
      <c r="I471" s="620"/>
      <c r="J471" s="620"/>
      <c r="K471" s="570"/>
      <c r="O471" s="1223"/>
      <c r="Q471" s="1222"/>
    </row>
    <row r="472" spans="2:17" x14ac:dyDescent="0.4">
      <c r="B472" s="130"/>
      <c r="C472" s="611">
        <v>75</v>
      </c>
      <c r="D472" s="656" t="e">
        <f t="shared" ca="1" si="85"/>
        <v>#N/A</v>
      </c>
      <c r="E472" s="620"/>
      <c r="F472" s="620"/>
      <c r="G472" s="620"/>
      <c r="H472" s="620"/>
      <c r="I472" s="620"/>
      <c r="J472" s="620"/>
      <c r="K472" s="570"/>
      <c r="O472" s="1223"/>
      <c r="Q472" s="1222"/>
    </row>
    <row r="473" spans="2:17" x14ac:dyDescent="0.4">
      <c r="B473" s="130"/>
      <c r="C473" s="611">
        <v>76</v>
      </c>
      <c r="D473" s="656" t="e">
        <f t="shared" ca="1" si="85"/>
        <v>#N/A</v>
      </c>
      <c r="E473" s="620"/>
      <c r="F473" s="620"/>
      <c r="G473" s="620"/>
      <c r="H473" s="620"/>
      <c r="I473" s="620"/>
      <c r="J473" s="620"/>
      <c r="K473" s="570"/>
      <c r="O473" s="1223"/>
      <c r="Q473" s="1222"/>
    </row>
    <row r="474" spans="2:17" x14ac:dyDescent="0.4">
      <c r="B474" s="130"/>
      <c r="C474" s="611">
        <v>77</v>
      </c>
      <c r="D474" s="656" t="e">
        <f t="shared" ca="1" si="85"/>
        <v>#N/A</v>
      </c>
      <c r="E474" s="620"/>
      <c r="F474" s="620"/>
      <c r="G474" s="620"/>
      <c r="H474" s="620"/>
      <c r="I474" s="620"/>
      <c r="J474" s="620"/>
      <c r="K474" s="570"/>
      <c r="O474" s="1223"/>
      <c r="Q474" s="1222"/>
    </row>
    <row r="475" spans="2:17" x14ac:dyDescent="0.4">
      <c r="B475" s="130"/>
      <c r="C475" s="611">
        <v>78</v>
      </c>
      <c r="D475" s="656" t="e">
        <f t="shared" ca="1" si="85"/>
        <v>#N/A</v>
      </c>
      <c r="E475" s="620"/>
      <c r="F475" s="620"/>
      <c r="G475" s="620"/>
      <c r="H475" s="620"/>
      <c r="I475" s="620"/>
      <c r="J475" s="620"/>
      <c r="K475" s="570"/>
      <c r="O475" s="1223"/>
      <c r="Q475" s="1222"/>
    </row>
    <row r="476" spans="2:17" x14ac:dyDescent="0.4">
      <c r="B476" s="130"/>
      <c r="C476" s="611">
        <v>79</v>
      </c>
      <c r="D476" s="656" t="e">
        <f t="shared" ca="1" si="85"/>
        <v>#N/A</v>
      </c>
      <c r="E476" s="620"/>
      <c r="F476" s="620"/>
      <c r="G476" s="620"/>
      <c r="H476" s="620"/>
      <c r="I476" s="620"/>
      <c r="J476" s="620"/>
      <c r="K476" s="570"/>
      <c r="O476" s="1223"/>
      <c r="Q476" s="1222"/>
    </row>
    <row r="477" spans="2:17" x14ac:dyDescent="0.4">
      <c r="B477" s="130"/>
      <c r="C477" s="611">
        <v>80</v>
      </c>
      <c r="D477" s="656" t="e">
        <f t="shared" ca="1" si="85"/>
        <v>#N/A</v>
      </c>
      <c r="E477" s="620"/>
      <c r="F477" s="620"/>
      <c r="G477" s="620"/>
      <c r="H477" s="620"/>
      <c r="I477" s="620"/>
      <c r="J477" s="620"/>
      <c r="K477" s="570"/>
      <c r="O477" s="1223"/>
      <c r="Q477" s="1222"/>
    </row>
    <row r="478" spans="2:17" x14ac:dyDescent="0.4">
      <c r="B478" s="130"/>
      <c r="C478" s="611">
        <v>81</v>
      </c>
      <c r="D478" s="656" t="e">
        <f t="shared" ca="1" si="85"/>
        <v>#N/A</v>
      </c>
      <c r="E478" s="620"/>
      <c r="F478" s="620"/>
      <c r="G478" s="620"/>
      <c r="H478" s="620"/>
      <c r="I478" s="620"/>
      <c r="J478" s="620"/>
      <c r="K478" s="570"/>
      <c r="O478" s="1223"/>
      <c r="Q478" s="1222"/>
    </row>
    <row r="479" spans="2:17" x14ac:dyDescent="0.4">
      <c r="B479" s="130"/>
      <c r="C479" s="611">
        <v>82</v>
      </c>
      <c r="D479" s="656" t="e">
        <f t="shared" ca="1" si="85"/>
        <v>#N/A</v>
      </c>
      <c r="E479" s="620"/>
      <c r="F479" s="620"/>
      <c r="G479" s="620"/>
      <c r="H479" s="620"/>
      <c r="I479" s="620"/>
      <c r="J479" s="620"/>
      <c r="K479" s="570"/>
      <c r="O479" s="1223"/>
      <c r="Q479" s="1222"/>
    </row>
    <row r="480" spans="2:17" x14ac:dyDescent="0.4">
      <c r="B480" s="130"/>
      <c r="C480" s="611">
        <v>83</v>
      </c>
      <c r="D480" s="656" t="e">
        <f t="shared" ca="1" si="85"/>
        <v>#N/A</v>
      </c>
      <c r="E480" s="620"/>
      <c r="F480" s="620"/>
      <c r="G480" s="620"/>
      <c r="H480" s="620"/>
      <c r="I480" s="620"/>
      <c r="J480" s="620"/>
      <c r="K480" s="570"/>
      <c r="O480" s="1223"/>
      <c r="Q480" s="1222"/>
    </row>
    <row r="481" spans="2:17" x14ac:dyDescent="0.4">
      <c r="B481" s="130"/>
      <c r="C481" s="611">
        <v>84</v>
      </c>
      <c r="D481" s="656" t="e">
        <f t="shared" ca="1" si="85"/>
        <v>#N/A</v>
      </c>
      <c r="E481" s="620"/>
      <c r="F481" s="620"/>
      <c r="G481" s="620"/>
      <c r="H481" s="620"/>
      <c r="I481" s="620"/>
      <c r="J481" s="620"/>
      <c r="K481" s="570"/>
      <c r="O481" s="1223"/>
      <c r="Q481" s="1222"/>
    </row>
    <row r="482" spans="2:17" x14ac:dyDescent="0.4">
      <c r="B482" s="130"/>
      <c r="C482" s="611">
        <v>85</v>
      </c>
      <c r="D482" s="656" t="e">
        <f t="shared" ca="1" si="85"/>
        <v>#N/A</v>
      </c>
      <c r="E482" s="620"/>
      <c r="F482" s="620"/>
      <c r="G482" s="620"/>
      <c r="H482" s="620"/>
      <c r="I482" s="620"/>
      <c r="J482" s="620"/>
      <c r="K482" s="570"/>
      <c r="O482" s="1223"/>
      <c r="Q482" s="1222"/>
    </row>
    <row r="483" spans="2:17" x14ac:dyDescent="0.4">
      <c r="B483" s="130"/>
      <c r="C483" s="611">
        <v>86</v>
      </c>
      <c r="D483" s="656" t="e">
        <f t="shared" ca="1" si="85"/>
        <v>#N/A</v>
      </c>
      <c r="E483" s="620"/>
      <c r="F483" s="620"/>
      <c r="G483" s="620"/>
      <c r="H483" s="620"/>
      <c r="I483" s="620"/>
      <c r="J483" s="620"/>
      <c r="K483" s="570"/>
      <c r="O483" s="1223"/>
      <c r="Q483" s="1222"/>
    </row>
    <row r="484" spans="2:17" x14ac:dyDescent="0.4">
      <c r="B484" s="130"/>
      <c r="C484" s="611">
        <v>87</v>
      </c>
      <c r="D484" s="656" t="e">
        <f t="shared" ca="1" si="85"/>
        <v>#N/A</v>
      </c>
      <c r="E484" s="620"/>
      <c r="F484" s="620"/>
      <c r="G484" s="620"/>
      <c r="H484" s="620"/>
      <c r="I484" s="620"/>
      <c r="J484" s="620"/>
      <c r="K484" s="570"/>
      <c r="O484" s="1223"/>
      <c r="Q484" s="1222"/>
    </row>
    <row r="485" spans="2:17" x14ac:dyDescent="0.4">
      <c r="B485" s="130"/>
      <c r="C485" s="611">
        <v>88</v>
      </c>
      <c r="D485" s="656" t="e">
        <f t="shared" ca="1" si="85"/>
        <v>#N/A</v>
      </c>
      <c r="E485" s="620"/>
      <c r="F485" s="620"/>
      <c r="G485" s="620"/>
      <c r="H485" s="620"/>
      <c r="I485" s="620"/>
      <c r="J485" s="620"/>
      <c r="K485" s="570"/>
      <c r="O485" s="1223"/>
      <c r="Q485" s="1222"/>
    </row>
    <row r="486" spans="2:17" x14ac:dyDescent="0.4">
      <c r="B486" s="130"/>
      <c r="C486" s="611">
        <v>89</v>
      </c>
      <c r="D486" s="656" t="e">
        <f t="shared" ca="1" si="85"/>
        <v>#N/A</v>
      </c>
      <c r="E486" s="620"/>
      <c r="F486" s="620"/>
      <c r="G486" s="620"/>
      <c r="H486" s="620"/>
      <c r="I486" s="620"/>
      <c r="J486" s="620"/>
      <c r="K486" s="570"/>
      <c r="O486" s="1223"/>
      <c r="Q486" s="1222"/>
    </row>
    <row r="487" spans="2:17" x14ac:dyDescent="0.4">
      <c r="B487" s="130"/>
      <c r="C487" s="611">
        <v>90</v>
      </c>
      <c r="D487" s="656" t="e">
        <f t="shared" ca="1" si="85"/>
        <v>#N/A</v>
      </c>
      <c r="E487" s="620"/>
      <c r="F487" s="620"/>
      <c r="G487" s="620"/>
      <c r="H487" s="620"/>
      <c r="I487" s="620"/>
      <c r="J487" s="620"/>
      <c r="K487" s="570"/>
      <c r="O487" s="1223"/>
      <c r="Q487" s="1222"/>
    </row>
    <row r="488" spans="2:17" x14ac:dyDescent="0.4">
      <c r="B488" s="130"/>
      <c r="C488" s="611">
        <v>91</v>
      </c>
      <c r="D488" s="656" t="e">
        <f t="shared" ca="1" si="85"/>
        <v>#N/A</v>
      </c>
      <c r="E488" s="620"/>
      <c r="F488" s="620"/>
      <c r="G488" s="620"/>
      <c r="H488" s="620"/>
      <c r="I488" s="620"/>
      <c r="J488" s="620"/>
      <c r="K488" s="570"/>
      <c r="O488" s="1223"/>
      <c r="Q488" s="1222"/>
    </row>
    <row r="489" spans="2:17" x14ac:dyDescent="0.4">
      <c r="B489" s="130"/>
      <c r="C489" s="611">
        <v>92</v>
      </c>
      <c r="D489" s="656" t="e">
        <f t="shared" ca="1" si="85"/>
        <v>#N/A</v>
      </c>
      <c r="E489" s="620"/>
      <c r="F489" s="620"/>
      <c r="G489" s="620"/>
      <c r="H489" s="620"/>
      <c r="I489" s="620"/>
      <c r="J489" s="620"/>
      <c r="K489" s="570"/>
      <c r="O489" s="1223"/>
      <c r="Q489" s="1222"/>
    </row>
    <row r="490" spans="2:17" x14ac:dyDescent="0.4">
      <c r="B490" s="130"/>
      <c r="C490" s="611">
        <v>93</v>
      </c>
      <c r="D490" s="656" t="e">
        <f t="shared" ca="1" si="85"/>
        <v>#N/A</v>
      </c>
      <c r="E490" s="620"/>
      <c r="F490" s="620"/>
      <c r="G490" s="620"/>
      <c r="H490" s="620"/>
      <c r="I490" s="620"/>
      <c r="J490" s="620"/>
      <c r="K490" s="570"/>
      <c r="O490" s="1223"/>
      <c r="Q490" s="1222"/>
    </row>
    <row r="491" spans="2:17" x14ac:dyDescent="0.4">
      <c r="B491" s="130"/>
      <c r="C491" s="611">
        <v>94</v>
      </c>
      <c r="D491" s="656" t="e">
        <f t="shared" ca="1" si="85"/>
        <v>#N/A</v>
      </c>
      <c r="E491" s="620"/>
      <c r="F491" s="620"/>
      <c r="G491" s="620"/>
      <c r="H491" s="620"/>
      <c r="I491" s="620"/>
      <c r="J491" s="620"/>
      <c r="K491" s="570"/>
      <c r="O491" s="1223"/>
      <c r="Q491" s="1222"/>
    </row>
    <row r="492" spans="2:17" x14ac:dyDescent="0.4">
      <c r="B492" s="130"/>
      <c r="C492" s="611">
        <v>95</v>
      </c>
      <c r="D492" s="656" t="e">
        <f t="shared" ca="1" si="85"/>
        <v>#N/A</v>
      </c>
      <c r="E492" s="620"/>
      <c r="F492" s="620"/>
      <c r="G492" s="620"/>
      <c r="H492" s="620"/>
      <c r="I492" s="620"/>
      <c r="J492" s="620"/>
      <c r="K492" s="570"/>
      <c r="O492" s="1223"/>
      <c r="Q492" s="1222"/>
    </row>
    <row r="493" spans="2:17" x14ac:dyDescent="0.4">
      <c r="B493" s="130"/>
      <c r="C493" s="611">
        <v>96</v>
      </c>
      <c r="D493" s="656" t="e">
        <f t="shared" ca="1" si="85"/>
        <v>#N/A</v>
      </c>
      <c r="E493" s="620"/>
      <c r="F493" s="620"/>
      <c r="G493" s="620"/>
      <c r="H493" s="620"/>
      <c r="I493" s="620"/>
      <c r="J493" s="620"/>
      <c r="K493" s="570"/>
      <c r="O493" s="1223"/>
      <c r="Q493" s="1222"/>
    </row>
    <row r="494" spans="2:17" x14ac:dyDescent="0.4">
      <c r="B494" s="130"/>
      <c r="C494" s="611">
        <v>97</v>
      </c>
      <c r="D494" s="656" t="e">
        <f t="shared" ca="1" si="85"/>
        <v>#N/A</v>
      </c>
      <c r="E494" s="620"/>
      <c r="F494" s="620"/>
      <c r="G494" s="620"/>
      <c r="H494" s="620"/>
      <c r="I494" s="620"/>
      <c r="J494" s="620"/>
      <c r="K494" s="570"/>
      <c r="O494" s="1223"/>
      <c r="Q494" s="1222"/>
    </row>
    <row r="495" spans="2:17" x14ac:dyDescent="0.4">
      <c r="B495" s="130"/>
      <c r="C495" s="611">
        <v>98</v>
      </c>
      <c r="D495" s="656" t="e">
        <f t="shared" ca="1" si="85"/>
        <v>#N/A</v>
      </c>
      <c r="E495" s="620"/>
      <c r="F495" s="620"/>
      <c r="G495" s="620"/>
      <c r="H495" s="620"/>
      <c r="I495" s="620"/>
      <c r="J495" s="620"/>
      <c r="K495" s="570"/>
      <c r="O495" s="1223"/>
      <c r="Q495" s="1222"/>
    </row>
    <row r="496" spans="2:17" x14ac:dyDescent="0.4">
      <c r="B496" s="130"/>
      <c r="C496" s="611">
        <v>99</v>
      </c>
      <c r="D496" s="656" t="e">
        <f t="shared" ca="1" si="85"/>
        <v>#N/A</v>
      </c>
      <c r="E496" s="620"/>
      <c r="F496" s="620"/>
      <c r="G496" s="620"/>
      <c r="H496" s="620"/>
      <c r="I496" s="620"/>
      <c r="J496" s="620"/>
      <c r="K496" s="570"/>
      <c r="O496" s="1223"/>
      <c r="Q496" s="1222"/>
    </row>
    <row r="497" spans="2:17" x14ac:dyDescent="0.4">
      <c r="B497" s="130"/>
      <c r="C497" s="611">
        <v>100</v>
      </c>
      <c r="D497" s="656" t="e">
        <f t="shared" ca="1" si="85"/>
        <v>#N/A</v>
      </c>
      <c r="E497" s="620"/>
      <c r="F497" s="620"/>
      <c r="G497" s="620"/>
      <c r="H497" s="620"/>
      <c r="I497" s="620"/>
      <c r="J497" s="620"/>
      <c r="K497" s="570"/>
      <c r="O497" s="1223"/>
      <c r="Q497" s="1222"/>
    </row>
    <row r="498" spans="2:17" x14ac:dyDescent="0.4">
      <c r="B498" s="130"/>
      <c r="C498" s="611">
        <v>101</v>
      </c>
      <c r="D498" s="656" t="e">
        <f t="shared" ca="1" si="85"/>
        <v>#N/A</v>
      </c>
      <c r="E498" s="620"/>
      <c r="F498" s="620"/>
      <c r="G498" s="620"/>
      <c r="H498" s="620"/>
      <c r="I498" s="620"/>
      <c r="J498" s="620"/>
      <c r="K498" s="570"/>
      <c r="O498" s="1223"/>
      <c r="Q498" s="1222"/>
    </row>
    <row r="499" spans="2:17" x14ac:dyDescent="0.4">
      <c r="B499" s="130"/>
      <c r="C499" s="611">
        <v>102</v>
      </c>
      <c r="D499" s="656" t="e">
        <f t="shared" ca="1" si="85"/>
        <v>#N/A</v>
      </c>
      <c r="E499" s="620"/>
      <c r="F499" s="620"/>
      <c r="G499" s="620"/>
      <c r="H499" s="620"/>
      <c r="I499" s="620"/>
      <c r="J499" s="620"/>
      <c r="K499" s="570"/>
      <c r="O499" s="1223"/>
      <c r="Q499" s="1222"/>
    </row>
    <row r="500" spans="2:17" x14ac:dyDescent="0.4">
      <c r="B500" s="130"/>
      <c r="C500" s="611">
        <v>103</v>
      </c>
      <c r="D500" s="656" t="e">
        <f t="shared" ca="1" si="85"/>
        <v>#N/A</v>
      </c>
      <c r="E500" s="620"/>
      <c r="F500" s="620"/>
      <c r="G500" s="620"/>
      <c r="H500" s="620"/>
      <c r="I500" s="620"/>
      <c r="J500" s="620"/>
      <c r="K500" s="570"/>
      <c r="O500" s="1223"/>
      <c r="Q500" s="1222"/>
    </row>
    <row r="501" spans="2:17" x14ac:dyDescent="0.4">
      <c r="B501" s="130"/>
      <c r="C501" s="611">
        <v>104</v>
      </c>
      <c r="D501" s="656" t="e">
        <f t="shared" ca="1" si="85"/>
        <v>#N/A</v>
      </c>
      <c r="E501" s="620"/>
      <c r="F501" s="620"/>
      <c r="G501" s="620"/>
      <c r="H501" s="620"/>
      <c r="I501" s="620"/>
      <c r="J501" s="620"/>
      <c r="K501" s="570"/>
      <c r="O501" s="1223"/>
      <c r="Q501" s="1222"/>
    </row>
    <row r="502" spans="2:17" x14ac:dyDescent="0.4">
      <c r="B502" s="130"/>
      <c r="C502" s="611">
        <v>105</v>
      </c>
      <c r="D502" s="656" t="e">
        <f t="shared" ca="1" si="85"/>
        <v>#N/A</v>
      </c>
      <c r="E502" s="620"/>
      <c r="F502" s="620"/>
      <c r="G502" s="620"/>
      <c r="H502" s="620"/>
      <c r="I502" s="620"/>
      <c r="J502" s="620"/>
      <c r="K502" s="570"/>
      <c r="O502" s="1223"/>
      <c r="Q502" s="1222"/>
    </row>
    <row r="503" spans="2:17" x14ac:dyDescent="0.4">
      <c r="B503" s="130"/>
      <c r="C503" s="611">
        <v>106</v>
      </c>
      <c r="D503" s="656" t="e">
        <f t="shared" ca="1" si="85"/>
        <v>#N/A</v>
      </c>
      <c r="E503" s="620"/>
      <c r="F503" s="620"/>
      <c r="G503" s="620"/>
      <c r="H503" s="620"/>
      <c r="I503" s="620"/>
      <c r="J503" s="620"/>
      <c r="K503" s="570"/>
      <c r="O503" s="1223"/>
      <c r="Q503" s="1222"/>
    </row>
    <row r="504" spans="2:17" x14ac:dyDescent="0.4">
      <c r="B504" s="130"/>
      <c r="C504" s="611">
        <v>107</v>
      </c>
      <c r="D504" s="656" t="e">
        <f t="shared" ca="1" si="85"/>
        <v>#N/A</v>
      </c>
      <c r="E504" s="620"/>
      <c r="F504" s="620"/>
      <c r="G504" s="620"/>
      <c r="H504" s="620"/>
      <c r="I504" s="620"/>
      <c r="J504" s="620"/>
      <c r="K504" s="570"/>
      <c r="O504" s="1223"/>
      <c r="Q504" s="1222"/>
    </row>
    <row r="505" spans="2:17" x14ac:dyDescent="0.4">
      <c r="B505" s="130"/>
      <c r="C505" s="611">
        <v>108</v>
      </c>
      <c r="D505" s="656" t="e">
        <f t="shared" ca="1" si="85"/>
        <v>#N/A</v>
      </c>
      <c r="E505" s="620"/>
      <c r="F505" s="620"/>
      <c r="G505" s="620"/>
      <c r="H505" s="620"/>
      <c r="I505" s="620"/>
      <c r="J505" s="620"/>
      <c r="K505" s="570"/>
      <c r="O505" s="1223"/>
      <c r="Q505" s="1222"/>
    </row>
    <row r="506" spans="2:17" x14ac:dyDescent="0.4">
      <c r="B506" s="130"/>
      <c r="C506" s="611">
        <v>109</v>
      </c>
      <c r="D506" s="656" t="e">
        <f t="shared" ca="1" si="85"/>
        <v>#N/A</v>
      </c>
      <c r="E506" s="620"/>
      <c r="F506" s="620"/>
      <c r="G506" s="620"/>
      <c r="H506" s="620"/>
      <c r="I506" s="620"/>
      <c r="J506" s="620"/>
      <c r="K506" s="570"/>
      <c r="O506" s="1223"/>
      <c r="Q506" s="1222"/>
    </row>
    <row r="507" spans="2:17" x14ac:dyDescent="0.4">
      <c r="B507" s="130"/>
      <c r="C507" s="611">
        <v>110</v>
      </c>
      <c r="D507" s="656" t="e">
        <f t="shared" ca="1" si="85"/>
        <v>#N/A</v>
      </c>
      <c r="E507" s="620"/>
      <c r="F507" s="620"/>
      <c r="G507" s="620"/>
      <c r="H507" s="620"/>
      <c r="I507" s="620"/>
      <c r="J507" s="620"/>
      <c r="K507" s="570"/>
      <c r="O507" s="1223"/>
      <c r="Q507" s="1222"/>
    </row>
    <row r="508" spans="2:17" x14ac:dyDescent="0.4">
      <c r="B508" s="130"/>
      <c r="C508" s="611">
        <v>111</v>
      </c>
      <c r="D508" s="656" t="e">
        <f t="shared" ca="1" si="85"/>
        <v>#N/A</v>
      </c>
      <c r="E508" s="620"/>
      <c r="F508" s="620"/>
      <c r="G508" s="620"/>
      <c r="H508" s="620"/>
      <c r="I508" s="620"/>
      <c r="J508" s="620"/>
      <c r="K508" s="570"/>
      <c r="O508" s="1223"/>
      <c r="Q508" s="1222"/>
    </row>
    <row r="509" spans="2:17" x14ac:dyDescent="0.4">
      <c r="B509" s="130"/>
      <c r="C509" s="611">
        <v>112</v>
      </c>
      <c r="D509" s="656" t="e">
        <f t="shared" ca="1" si="85"/>
        <v>#N/A</v>
      </c>
      <c r="E509" s="620"/>
      <c r="F509" s="620"/>
      <c r="G509" s="620"/>
      <c r="H509" s="620"/>
      <c r="I509" s="620"/>
      <c r="J509" s="620"/>
      <c r="K509" s="570"/>
      <c r="O509" s="1223"/>
      <c r="Q509" s="1222"/>
    </row>
    <row r="510" spans="2:17" x14ac:dyDescent="0.4">
      <c r="B510" s="130"/>
      <c r="C510" s="611">
        <v>113</v>
      </c>
      <c r="D510" s="656" t="e">
        <f t="shared" ca="1" si="85"/>
        <v>#N/A</v>
      </c>
      <c r="E510" s="620"/>
      <c r="F510" s="620"/>
      <c r="G510" s="620"/>
      <c r="H510" s="620"/>
      <c r="I510" s="620"/>
      <c r="J510" s="620"/>
      <c r="K510" s="570"/>
      <c r="O510" s="1223"/>
      <c r="Q510" s="1222"/>
    </row>
    <row r="511" spans="2:17" x14ac:dyDescent="0.4">
      <c r="B511" s="130"/>
      <c r="C511" s="611">
        <v>114</v>
      </c>
      <c r="D511" s="656" t="e">
        <f t="shared" ca="1" si="85"/>
        <v>#N/A</v>
      </c>
      <c r="E511" s="620"/>
      <c r="F511" s="620"/>
      <c r="G511" s="620"/>
      <c r="H511" s="620"/>
      <c r="I511" s="620"/>
      <c r="J511" s="620"/>
      <c r="K511" s="570"/>
      <c r="O511" s="1223"/>
      <c r="Q511" s="1222"/>
    </row>
    <row r="512" spans="2:17" x14ac:dyDescent="0.4">
      <c r="B512" s="130"/>
      <c r="C512" s="611">
        <v>115</v>
      </c>
      <c r="D512" s="656" t="e">
        <f t="shared" ca="1" si="85"/>
        <v>#N/A</v>
      </c>
      <c r="E512" s="620"/>
      <c r="F512" s="620"/>
      <c r="G512" s="620"/>
      <c r="H512" s="620"/>
      <c r="I512" s="620"/>
      <c r="J512" s="620"/>
      <c r="K512" s="570"/>
      <c r="O512" s="1223"/>
      <c r="Q512" s="1222"/>
    </row>
    <row r="513" spans="2:17" x14ac:dyDescent="0.4">
      <c r="B513" s="130"/>
      <c r="C513" s="611">
        <v>116</v>
      </c>
      <c r="D513" s="656" t="e">
        <f t="shared" ca="1" si="85"/>
        <v>#N/A</v>
      </c>
      <c r="E513" s="620"/>
      <c r="F513" s="620"/>
      <c r="G513" s="620"/>
      <c r="H513" s="620"/>
      <c r="I513" s="620"/>
      <c r="J513" s="620"/>
      <c r="K513" s="570"/>
      <c r="O513" s="1223"/>
      <c r="Q513" s="1222"/>
    </row>
    <row r="514" spans="2:17" x14ac:dyDescent="0.4">
      <c r="B514" s="130"/>
      <c r="C514" s="611">
        <v>117</v>
      </c>
      <c r="D514" s="656" t="e">
        <f t="shared" ca="1" si="85"/>
        <v>#N/A</v>
      </c>
      <c r="E514" s="620"/>
      <c r="F514" s="620"/>
      <c r="G514" s="620"/>
      <c r="H514" s="620"/>
      <c r="I514" s="620"/>
      <c r="J514" s="620"/>
      <c r="K514" s="570"/>
      <c r="O514" s="1223"/>
      <c r="Q514" s="1222"/>
    </row>
    <row r="515" spans="2:17" x14ac:dyDescent="0.4">
      <c r="B515" s="130"/>
      <c r="C515" s="611">
        <v>118</v>
      </c>
      <c r="D515" s="656" t="e">
        <f t="shared" ca="1" si="85"/>
        <v>#N/A</v>
      </c>
      <c r="E515" s="620"/>
      <c r="F515" s="620"/>
      <c r="G515" s="620"/>
      <c r="H515" s="620"/>
      <c r="I515" s="620"/>
      <c r="J515" s="620"/>
      <c r="K515" s="570"/>
      <c r="O515" s="1223"/>
      <c r="Q515" s="1222"/>
    </row>
    <row r="516" spans="2:17" x14ac:dyDescent="0.4">
      <c r="B516" s="130"/>
      <c r="C516" s="611">
        <v>119</v>
      </c>
      <c r="D516" s="656" t="e">
        <f t="shared" ca="1" si="85"/>
        <v>#N/A</v>
      </c>
      <c r="E516" s="620"/>
      <c r="F516" s="620"/>
      <c r="G516" s="620"/>
      <c r="H516" s="620"/>
      <c r="I516" s="620"/>
      <c r="J516" s="620"/>
      <c r="K516" s="570"/>
      <c r="O516" s="1223"/>
      <c r="Q516" s="1222"/>
    </row>
    <row r="517" spans="2:17" x14ac:dyDescent="0.4">
      <c r="B517" s="130"/>
      <c r="C517" s="611">
        <v>120</v>
      </c>
      <c r="D517" s="656" t="e">
        <f t="shared" ca="1" si="85"/>
        <v>#N/A</v>
      </c>
      <c r="E517" s="620"/>
      <c r="F517" s="620"/>
      <c r="G517" s="620"/>
      <c r="H517" s="620"/>
      <c r="I517" s="620"/>
      <c r="J517" s="620"/>
      <c r="K517" s="570"/>
      <c r="O517" s="1223"/>
      <c r="Q517" s="1222"/>
    </row>
    <row r="518" spans="2:17" x14ac:dyDescent="0.4">
      <c r="B518" s="130"/>
      <c r="C518" s="611">
        <v>121</v>
      </c>
      <c r="D518" s="656" t="e">
        <f t="shared" ca="1" si="85"/>
        <v>#N/A</v>
      </c>
      <c r="E518" s="620"/>
      <c r="F518" s="620"/>
      <c r="G518" s="620"/>
      <c r="H518" s="620"/>
      <c r="I518" s="620"/>
      <c r="J518" s="620"/>
      <c r="K518" s="570"/>
      <c r="O518" s="1223"/>
      <c r="Q518" s="1222"/>
    </row>
    <row r="519" spans="2:17" x14ac:dyDescent="0.4">
      <c r="B519" s="130"/>
      <c r="C519" s="611">
        <v>122</v>
      </c>
      <c r="D519" s="656" t="e">
        <f t="shared" ca="1" si="85"/>
        <v>#N/A</v>
      </c>
      <c r="E519" s="620"/>
      <c r="F519" s="620"/>
      <c r="G519" s="620"/>
      <c r="H519" s="620"/>
      <c r="I519" s="620"/>
      <c r="J519" s="620"/>
      <c r="K519" s="570"/>
      <c r="O519" s="1223"/>
      <c r="Q519" s="1222"/>
    </row>
    <row r="520" spans="2:17" x14ac:dyDescent="0.4">
      <c r="B520" s="130"/>
      <c r="C520" s="611">
        <v>123</v>
      </c>
      <c r="D520" s="656" t="e">
        <f t="shared" ca="1" si="85"/>
        <v>#N/A</v>
      </c>
      <c r="E520" s="620"/>
      <c r="F520" s="620"/>
      <c r="G520" s="620"/>
      <c r="H520" s="620"/>
      <c r="I520" s="620"/>
      <c r="J520" s="620"/>
      <c r="K520" s="570"/>
      <c r="O520" s="1223"/>
      <c r="Q520" s="1222"/>
    </row>
    <row r="521" spans="2:17" x14ac:dyDescent="0.4">
      <c r="B521" s="130"/>
      <c r="C521" s="611">
        <v>124</v>
      </c>
      <c r="D521" s="656" t="e">
        <f t="shared" ca="1" si="85"/>
        <v>#N/A</v>
      </c>
      <c r="E521" s="620"/>
      <c r="F521" s="620"/>
      <c r="G521" s="620"/>
      <c r="H521" s="620"/>
      <c r="I521" s="620"/>
      <c r="J521" s="620"/>
      <c r="K521" s="570"/>
      <c r="O521" s="1223"/>
      <c r="Q521" s="1222"/>
    </row>
    <row r="522" spans="2:17" x14ac:dyDescent="0.4">
      <c r="B522" s="130"/>
      <c r="C522" s="611">
        <v>125</v>
      </c>
      <c r="D522" s="656" t="e">
        <f t="shared" ca="1" si="85"/>
        <v>#N/A</v>
      </c>
      <c r="E522" s="620"/>
      <c r="F522" s="620"/>
      <c r="G522" s="620"/>
      <c r="H522" s="620"/>
      <c r="I522" s="620"/>
      <c r="J522" s="620"/>
      <c r="K522" s="570"/>
      <c r="O522" s="1223"/>
      <c r="Q522" s="1222"/>
    </row>
    <row r="523" spans="2:17" x14ac:dyDescent="0.4">
      <c r="B523" s="130"/>
      <c r="C523" s="611">
        <v>126</v>
      </c>
      <c r="D523" s="656" t="e">
        <f t="shared" ca="1" si="85"/>
        <v>#N/A</v>
      </c>
      <c r="E523" s="620"/>
      <c r="F523" s="620"/>
      <c r="G523" s="620"/>
      <c r="H523" s="620"/>
      <c r="I523" s="620"/>
      <c r="J523" s="620"/>
      <c r="K523" s="570"/>
      <c r="O523" s="1223"/>
      <c r="Q523" s="1222"/>
    </row>
    <row r="524" spans="2:17" x14ac:dyDescent="0.4">
      <c r="B524" s="130"/>
      <c r="C524" s="611">
        <v>127</v>
      </c>
      <c r="D524" s="656" t="e">
        <f t="shared" ca="1" si="85"/>
        <v>#N/A</v>
      </c>
      <c r="E524" s="620"/>
      <c r="F524" s="620"/>
      <c r="G524" s="620"/>
      <c r="H524" s="620"/>
      <c r="I524" s="620"/>
      <c r="J524" s="620"/>
      <c r="K524" s="570"/>
      <c r="O524" s="1223"/>
      <c r="Q524" s="1222"/>
    </row>
    <row r="525" spans="2:17" x14ac:dyDescent="0.4">
      <c r="B525" s="130"/>
      <c r="C525" s="611">
        <v>128</v>
      </c>
      <c r="D525" s="656" t="e">
        <f t="shared" ref="D525:D588" ca="1" si="86">$C$376*C525</f>
        <v>#N/A</v>
      </c>
      <c r="E525" s="620"/>
      <c r="F525" s="620"/>
      <c r="G525" s="620"/>
      <c r="H525" s="620"/>
      <c r="I525" s="620"/>
      <c r="J525" s="620"/>
      <c r="K525" s="570"/>
      <c r="O525" s="1223"/>
      <c r="Q525" s="1222"/>
    </row>
    <row r="526" spans="2:17" x14ac:dyDescent="0.4">
      <c r="B526" s="130"/>
      <c r="C526" s="611">
        <v>129</v>
      </c>
      <c r="D526" s="656" t="e">
        <f t="shared" ca="1" si="86"/>
        <v>#N/A</v>
      </c>
      <c r="E526" s="620"/>
      <c r="F526" s="620"/>
      <c r="G526" s="620"/>
      <c r="H526" s="620"/>
      <c r="I526" s="620"/>
      <c r="J526" s="620"/>
      <c r="K526" s="570"/>
      <c r="O526" s="1223"/>
      <c r="Q526" s="1222"/>
    </row>
    <row r="527" spans="2:17" x14ac:dyDescent="0.4">
      <c r="B527" s="130"/>
      <c r="C527" s="611">
        <v>130</v>
      </c>
      <c r="D527" s="656" t="e">
        <f t="shared" ca="1" si="86"/>
        <v>#N/A</v>
      </c>
      <c r="E527" s="620"/>
      <c r="F527" s="620"/>
      <c r="G527" s="620"/>
      <c r="H527" s="620"/>
      <c r="I527" s="620"/>
      <c r="J527" s="620"/>
      <c r="K527" s="570"/>
      <c r="O527" s="1223"/>
      <c r="Q527" s="1222"/>
    </row>
    <row r="528" spans="2:17" x14ac:dyDescent="0.4">
      <c r="B528" s="130"/>
      <c r="C528" s="611">
        <v>131</v>
      </c>
      <c r="D528" s="656" t="e">
        <f t="shared" ca="1" si="86"/>
        <v>#N/A</v>
      </c>
      <c r="E528" s="620"/>
      <c r="F528" s="620"/>
      <c r="G528" s="620"/>
      <c r="H528" s="620"/>
      <c r="I528" s="620"/>
      <c r="J528" s="620"/>
      <c r="K528" s="570"/>
      <c r="O528" s="1223"/>
      <c r="Q528" s="1222"/>
    </row>
    <row r="529" spans="2:17" x14ac:dyDescent="0.4">
      <c r="B529" s="130"/>
      <c r="C529" s="611">
        <v>132</v>
      </c>
      <c r="D529" s="656" t="e">
        <f t="shared" ca="1" si="86"/>
        <v>#N/A</v>
      </c>
      <c r="E529" s="620"/>
      <c r="F529" s="620"/>
      <c r="G529" s="620"/>
      <c r="H529" s="620"/>
      <c r="I529" s="620"/>
      <c r="J529" s="620"/>
      <c r="K529" s="570"/>
      <c r="O529" s="1223"/>
      <c r="Q529" s="1222"/>
    </row>
    <row r="530" spans="2:17" x14ac:dyDescent="0.4">
      <c r="B530" s="130"/>
      <c r="C530" s="611">
        <v>133</v>
      </c>
      <c r="D530" s="656" t="e">
        <f t="shared" ca="1" si="86"/>
        <v>#N/A</v>
      </c>
      <c r="E530" s="620"/>
      <c r="F530" s="620"/>
      <c r="G530" s="620"/>
      <c r="H530" s="620"/>
      <c r="I530" s="620"/>
      <c r="J530" s="620"/>
      <c r="K530" s="570"/>
      <c r="O530" s="1223"/>
      <c r="Q530" s="1222"/>
    </row>
    <row r="531" spans="2:17" x14ac:dyDescent="0.4">
      <c r="B531" s="130"/>
      <c r="C531" s="611">
        <v>134</v>
      </c>
      <c r="D531" s="656" t="e">
        <f t="shared" ca="1" si="86"/>
        <v>#N/A</v>
      </c>
      <c r="E531" s="620"/>
      <c r="F531" s="620"/>
      <c r="G531" s="620"/>
      <c r="H531" s="620"/>
      <c r="I531" s="620"/>
      <c r="J531" s="620"/>
      <c r="K531" s="570"/>
      <c r="O531" s="1223"/>
      <c r="Q531" s="1222"/>
    </row>
    <row r="532" spans="2:17" x14ac:dyDescent="0.4">
      <c r="B532" s="130"/>
      <c r="C532" s="611">
        <v>135</v>
      </c>
      <c r="D532" s="656" t="e">
        <f t="shared" ca="1" si="86"/>
        <v>#N/A</v>
      </c>
      <c r="E532" s="620"/>
      <c r="F532" s="620"/>
      <c r="G532" s="620"/>
      <c r="H532" s="620"/>
      <c r="I532" s="620"/>
      <c r="J532" s="620"/>
      <c r="K532" s="570"/>
      <c r="O532" s="1223"/>
      <c r="Q532" s="1222"/>
    </row>
    <row r="533" spans="2:17" x14ac:dyDescent="0.4">
      <c r="B533" s="130"/>
      <c r="C533" s="611">
        <v>136</v>
      </c>
      <c r="D533" s="656" t="e">
        <f t="shared" ca="1" si="86"/>
        <v>#N/A</v>
      </c>
      <c r="E533" s="620"/>
      <c r="F533" s="620"/>
      <c r="G533" s="620"/>
      <c r="H533" s="620"/>
      <c r="I533" s="620"/>
      <c r="J533" s="620"/>
      <c r="K533" s="570"/>
      <c r="O533" s="1223"/>
      <c r="Q533" s="1222"/>
    </row>
    <row r="534" spans="2:17" x14ac:dyDescent="0.4">
      <c r="B534" s="130"/>
      <c r="C534" s="611">
        <v>137</v>
      </c>
      <c r="D534" s="656" t="e">
        <f t="shared" ca="1" si="86"/>
        <v>#N/A</v>
      </c>
      <c r="E534" s="620"/>
      <c r="F534" s="620"/>
      <c r="G534" s="620"/>
      <c r="H534" s="620"/>
      <c r="I534" s="620"/>
      <c r="J534" s="620"/>
      <c r="K534" s="570"/>
      <c r="O534" s="1223"/>
      <c r="Q534" s="1222"/>
    </row>
    <row r="535" spans="2:17" x14ac:dyDescent="0.4">
      <c r="B535" s="130"/>
      <c r="C535" s="611">
        <v>138</v>
      </c>
      <c r="D535" s="656" t="e">
        <f t="shared" ca="1" si="86"/>
        <v>#N/A</v>
      </c>
      <c r="E535" s="620"/>
      <c r="F535" s="620"/>
      <c r="G535" s="620"/>
      <c r="H535" s="620"/>
      <c r="I535" s="620"/>
      <c r="J535" s="620"/>
      <c r="K535" s="570"/>
      <c r="O535" s="1223"/>
      <c r="Q535" s="1222"/>
    </row>
    <row r="536" spans="2:17" x14ac:dyDescent="0.4">
      <c r="B536" s="130"/>
      <c r="C536" s="611">
        <v>139</v>
      </c>
      <c r="D536" s="656" t="e">
        <f t="shared" ca="1" si="86"/>
        <v>#N/A</v>
      </c>
      <c r="E536" s="620"/>
      <c r="F536" s="620"/>
      <c r="G536" s="620"/>
      <c r="H536" s="620"/>
      <c r="I536" s="620"/>
      <c r="J536" s="620"/>
      <c r="K536" s="570"/>
      <c r="O536" s="1223"/>
      <c r="Q536" s="1222"/>
    </row>
    <row r="537" spans="2:17" x14ac:dyDescent="0.4">
      <c r="B537" s="130"/>
      <c r="C537" s="611">
        <v>140</v>
      </c>
      <c r="D537" s="656" t="e">
        <f t="shared" ca="1" si="86"/>
        <v>#N/A</v>
      </c>
      <c r="E537" s="620"/>
      <c r="F537" s="620"/>
      <c r="G537" s="620"/>
      <c r="H537" s="620"/>
      <c r="I537" s="620"/>
      <c r="J537" s="620"/>
      <c r="K537" s="570"/>
      <c r="O537" s="1223"/>
      <c r="Q537" s="1222"/>
    </row>
    <row r="538" spans="2:17" x14ac:dyDescent="0.4">
      <c r="B538" s="130"/>
      <c r="C538" s="611">
        <v>141</v>
      </c>
      <c r="D538" s="656" t="e">
        <f t="shared" ca="1" si="86"/>
        <v>#N/A</v>
      </c>
      <c r="E538" s="620"/>
      <c r="F538" s="620"/>
      <c r="G538" s="620"/>
      <c r="H538" s="620"/>
      <c r="I538" s="620"/>
      <c r="J538" s="620"/>
      <c r="K538" s="570"/>
      <c r="O538" s="1223"/>
      <c r="Q538" s="1222"/>
    </row>
    <row r="539" spans="2:17" x14ac:dyDescent="0.4">
      <c r="B539" s="130"/>
      <c r="C539" s="611">
        <v>142</v>
      </c>
      <c r="D539" s="656" t="e">
        <f t="shared" ca="1" si="86"/>
        <v>#N/A</v>
      </c>
      <c r="E539" s="620"/>
      <c r="F539" s="620"/>
      <c r="G539" s="620"/>
      <c r="H539" s="620"/>
      <c r="I539" s="620"/>
      <c r="J539" s="620"/>
      <c r="K539" s="570"/>
      <c r="O539" s="1223"/>
      <c r="Q539" s="1222"/>
    </row>
    <row r="540" spans="2:17" x14ac:dyDescent="0.4">
      <c r="B540" s="130"/>
      <c r="C540" s="611">
        <v>143</v>
      </c>
      <c r="D540" s="656" t="e">
        <f t="shared" ca="1" si="86"/>
        <v>#N/A</v>
      </c>
      <c r="E540" s="620"/>
      <c r="F540" s="620"/>
      <c r="G540" s="620"/>
      <c r="H540" s="620"/>
      <c r="I540" s="620"/>
      <c r="J540" s="620"/>
      <c r="K540" s="570"/>
      <c r="O540" s="1223"/>
      <c r="Q540" s="1222"/>
    </row>
    <row r="541" spans="2:17" x14ac:dyDescent="0.4">
      <c r="B541" s="130"/>
      <c r="C541" s="611">
        <v>144</v>
      </c>
      <c r="D541" s="656" t="e">
        <f t="shared" ca="1" si="86"/>
        <v>#N/A</v>
      </c>
      <c r="E541" s="620"/>
      <c r="F541" s="620"/>
      <c r="G541" s="620"/>
      <c r="H541" s="620"/>
      <c r="I541" s="620"/>
      <c r="J541" s="620"/>
      <c r="K541" s="570"/>
      <c r="O541" s="1223"/>
      <c r="Q541" s="1222"/>
    </row>
    <row r="542" spans="2:17" x14ac:dyDescent="0.4">
      <c r="B542" s="130"/>
      <c r="C542" s="611">
        <v>145</v>
      </c>
      <c r="D542" s="656" t="e">
        <f t="shared" ca="1" si="86"/>
        <v>#N/A</v>
      </c>
      <c r="E542" s="620"/>
      <c r="F542" s="620"/>
      <c r="G542" s="620"/>
      <c r="H542" s="620"/>
      <c r="I542" s="620"/>
      <c r="J542" s="620"/>
      <c r="K542" s="570"/>
      <c r="O542" s="1223"/>
      <c r="Q542" s="1222"/>
    </row>
    <row r="543" spans="2:17" x14ac:dyDescent="0.4">
      <c r="B543" s="130"/>
      <c r="C543" s="611">
        <v>146</v>
      </c>
      <c r="D543" s="656" t="e">
        <f t="shared" ca="1" si="86"/>
        <v>#N/A</v>
      </c>
      <c r="E543" s="620"/>
      <c r="F543" s="620"/>
      <c r="G543" s="620"/>
      <c r="H543" s="620"/>
      <c r="I543" s="620"/>
      <c r="J543" s="620"/>
      <c r="K543" s="570"/>
      <c r="O543" s="1223"/>
      <c r="Q543" s="1222"/>
    </row>
    <row r="544" spans="2:17" x14ac:dyDescent="0.4">
      <c r="B544" s="130"/>
      <c r="C544" s="611">
        <v>147</v>
      </c>
      <c r="D544" s="656" t="e">
        <f t="shared" ca="1" si="86"/>
        <v>#N/A</v>
      </c>
      <c r="E544" s="620"/>
      <c r="F544" s="620"/>
      <c r="G544" s="620"/>
      <c r="H544" s="620"/>
      <c r="I544" s="620"/>
      <c r="J544" s="620"/>
      <c r="K544" s="570"/>
      <c r="O544" s="1223"/>
      <c r="Q544" s="1222"/>
    </row>
    <row r="545" spans="2:17" x14ac:dyDescent="0.4">
      <c r="B545" s="130"/>
      <c r="C545" s="611">
        <v>148</v>
      </c>
      <c r="D545" s="656" t="e">
        <f t="shared" ca="1" si="86"/>
        <v>#N/A</v>
      </c>
      <c r="E545" s="620"/>
      <c r="F545" s="620"/>
      <c r="G545" s="620"/>
      <c r="H545" s="620"/>
      <c r="I545" s="620"/>
      <c r="J545" s="620"/>
      <c r="K545" s="570"/>
      <c r="O545" s="1223"/>
      <c r="Q545" s="1222"/>
    </row>
    <row r="546" spans="2:17" x14ac:dyDescent="0.4">
      <c r="B546" s="130"/>
      <c r="C546" s="611">
        <v>149</v>
      </c>
      <c r="D546" s="656" t="e">
        <f t="shared" ca="1" si="86"/>
        <v>#N/A</v>
      </c>
      <c r="E546" s="620"/>
      <c r="F546" s="620"/>
      <c r="G546" s="620"/>
      <c r="H546" s="620"/>
      <c r="I546" s="620"/>
      <c r="J546" s="620"/>
      <c r="K546" s="570"/>
      <c r="O546" s="1223"/>
      <c r="Q546" s="1222"/>
    </row>
    <row r="547" spans="2:17" x14ac:dyDescent="0.4">
      <c r="B547" s="130"/>
      <c r="C547" s="611">
        <v>150</v>
      </c>
      <c r="D547" s="656" t="e">
        <f t="shared" ca="1" si="86"/>
        <v>#N/A</v>
      </c>
      <c r="E547" s="620"/>
      <c r="F547" s="620"/>
      <c r="G547" s="620"/>
      <c r="H547" s="620"/>
      <c r="I547" s="620"/>
      <c r="J547" s="620"/>
      <c r="K547" s="570"/>
      <c r="O547" s="1223"/>
      <c r="Q547" s="1222"/>
    </row>
    <row r="548" spans="2:17" x14ac:dyDescent="0.4">
      <c r="B548" s="130"/>
      <c r="C548" s="611">
        <v>151</v>
      </c>
      <c r="D548" s="656" t="e">
        <f t="shared" ca="1" si="86"/>
        <v>#N/A</v>
      </c>
      <c r="E548" s="620"/>
      <c r="F548" s="620"/>
      <c r="G548" s="620"/>
      <c r="H548" s="620"/>
      <c r="I548" s="620"/>
      <c r="J548" s="620"/>
      <c r="K548" s="570"/>
      <c r="O548" s="1223"/>
      <c r="Q548" s="1222"/>
    </row>
    <row r="549" spans="2:17" x14ac:dyDescent="0.4">
      <c r="B549" s="130"/>
      <c r="C549" s="611">
        <v>152</v>
      </c>
      <c r="D549" s="656" t="e">
        <f t="shared" ca="1" si="86"/>
        <v>#N/A</v>
      </c>
      <c r="E549" s="620"/>
      <c r="F549" s="620"/>
      <c r="G549" s="620"/>
      <c r="H549" s="620"/>
      <c r="I549" s="620"/>
      <c r="J549" s="620"/>
      <c r="K549" s="570"/>
      <c r="O549" s="1223"/>
      <c r="Q549" s="1222"/>
    </row>
    <row r="550" spans="2:17" x14ac:dyDescent="0.4">
      <c r="B550" s="130"/>
      <c r="C550" s="611">
        <v>153</v>
      </c>
      <c r="D550" s="656" t="e">
        <f t="shared" ca="1" si="86"/>
        <v>#N/A</v>
      </c>
      <c r="E550" s="620"/>
      <c r="F550" s="620"/>
      <c r="G550" s="620"/>
      <c r="H550" s="620"/>
      <c r="I550" s="620"/>
      <c r="J550" s="620"/>
      <c r="K550" s="570"/>
      <c r="O550" s="1223"/>
      <c r="Q550" s="1222"/>
    </row>
    <row r="551" spans="2:17" x14ac:dyDescent="0.4">
      <c r="B551" s="130"/>
      <c r="C551" s="611">
        <v>154</v>
      </c>
      <c r="D551" s="656" t="e">
        <f t="shared" ca="1" si="86"/>
        <v>#N/A</v>
      </c>
      <c r="E551" s="620"/>
      <c r="F551" s="620"/>
      <c r="G551" s="620"/>
      <c r="H551" s="620"/>
      <c r="I551" s="620"/>
      <c r="J551" s="620"/>
      <c r="K551" s="570"/>
      <c r="O551" s="1223"/>
      <c r="Q551" s="1222"/>
    </row>
    <row r="552" spans="2:17" x14ac:dyDescent="0.4">
      <c r="B552" s="130"/>
      <c r="C552" s="611">
        <v>155</v>
      </c>
      <c r="D552" s="656" t="e">
        <f t="shared" ca="1" si="86"/>
        <v>#N/A</v>
      </c>
      <c r="E552" s="620"/>
      <c r="F552" s="620"/>
      <c r="G552" s="620"/>
      <c r="H552" s="620"/>
      <c r="I552" s="620"/>
      <c r="J552" s="620"/>
      <c r="K552" s="570"/>
      <c r="O552" s="1223"/>
      <c r="Q552" s="1222"/>
    </row>
    <row r="553" spans="2:17" x14ac:dyDescent="0.4">
      <c r="B553" s="130"/>
      <c r="C553" s="611">
        <v>156</v>
      </c>
      <c r="D553" s="656" t="e">
        <f t="shared" ca="1" si="86"/>
        <v>#N/A</v>
      </c>
      <c r="E553" s="620"/>
      <c r="F553" s="620"/>
      <c r="G553" s="620"/>
      <c r="H553" s="620"/>
      <c r="I553" s="620"/>
      <c r="J553" s="620"/>
      <c r="K553" s="570"/>
      <c r="O553" s="1223"/>
      <c r="Q553" s="1222"/>
    </row>
    <row r="554" spans="2:17" x14ac:dyDescent="0.4">
      <c r="B554" s="130"/>
      <c r="C554" s="611">
        <v>157</v>
      </c>
      <c r="D554" s="656" t="e">
        <f t="shared" ca="1" si="86"/>
        <v>#N/A</v>
      </c>
      <c r="E554" s="620"/>
      <c r="F554" s="620"/>
      <c r="G554" s="620"/>
      <c r="H554" s="620"/>
      <c r="I554" s="620"/>
      <c r="J554" s="620"/>
      <c r="K554" s="570"/>
      <c r="O554" s="1223"/>
      <c r="Q554" s="1222"/>
    </row>
    <row r="555" spans="2:17" x14ac:dyDescent="0.4">
      <c r="B555" s="130"/>
      <c r="C555" s="611">
        <v>158</v>
      </c>
      <c r="D555" s="656" t="e">
        <f t="shared" ca="1" si="86"/>
        <v>#N/A</v>
      </c>
      <c r="E555" s="620"/>
      <c r="F555" s="620"/>
      <c r="G555" s="620"/>
      <c r="H555" s="620"/>
      <c r="I555" s="620"/>
      <c r="J555" s="620"/>
      <c r="K555" s="570"/>
      <c r="O555" s="1223"/>
      <c r="Q555" s="1222"/>
    </row>
    <row r="556" spans="2:17" x14ac:dyDescent="0.4">
      <c r="B556" s="130"/>
      <c r="C556" s="611">
        <v>159</v>
      </c>
      <c r="D556" s="656" t="e">
        <f t="shared" ca="1" si="86"/>
        <v>#N/A</v>
      </c>
      <c r="E556" s="620"/>
      <c r="F556" s="620"/>
      <c r="G556" s="620"/>
      <c r="H556" s="620"/>
      <c r="I556" s="620"/>
      <c r="J556" s="620"/>
      <c r="K556" s="570"/>
      <c r="O556" s="1223"/>
      <c r="Q556" s="1222"/>
    </row>
    <row r="557" spans="2:17" x14ac:dyDescent="0.4">
      <c r="B557" s="130"/>
      <c r="C557" s="611">
        <v>160</v>
      </c>
      <c r="D557" s="656" t="e">
        <f t="shared" ca="1" si="86"/>
        <v>#N/A</v>
      </c>
      <c r="E557" s="620"/>
      <c r="F557" s="620"/>
      <c r="G557" s="620"/>
      <c r="H557" s="620"/>
      <c r="I557" s="620"/>
      <c r="J557" s="620"/>
      <c r="K557" s="570"/>
      <c r="O557" s="1223"/>
      <c r="Q557" s="1222"/>
    </row>
    <row r="558" spans="2:17" x14ac:dyDescent="0.4">
      <c r="B558" s="130"/>
      <c r="C558" s="611">
        <v>161</v>
      </c>
      <c r="D558" s="656" t="e">
        <f t="shared" ca="1" si="86"/>
        <v>#N/A</v>
      </c>
      <c r="E558" s="620"/>
      <c r="F558" s="620"/>
      <c r="G558" s="620"/>
      <c r="H558" s="620"/>
      <c r="I558" s="620"/>
      <c r="J558" s="620"/>
      <c r="K558" s="570"/>
      <c r="O558" s="1223"/>
      <c r="Q558" s="1222"/>
    </row>
    <row r="559" spans="2:17" x14ac:dyDescent="0.4">
      <c r="B559" s="130"/>
      <c r="C559" s="611">
        <v>162</v>
      </c>
      <c r="D559" s="656" t="e">
        <f t="shared" ca="1" si="86"/>
        <v>#N/A</v>
      </c>
      <c r="E559" s="620"/>
      <c r="F559" s="620"/>
      <c r="G559" s="620"/>
      <c r="H559" s="620"/>
      <c r="I559" s="620"/>
      <c r="J559" s="620"/>
      <c r="K559" s="570"/>
      <c r="O559" s="1223"/>
      <c r="Q559" s="1222"/>
    </row>
    <row r="560" spans="2:17" x14ac:dyDescent="0.4">
      <c r="B560" s="130"/>
      <c r="C560" s="611">
        <v>163</v>
      </c>
      <c r="D560" s="656" t="e">
        <f t="shared" ca="1" si="86"/>
        <v>#N/A</v>
      </c>
      <c r="E560" s="620"/>
      <c r="F560" s="620"/>
      <c r="G560" s="620"/>
      <c r="H560" s="620"/>
      <c r="I560" s="620"/>
      <c r="J560" s="620"/>
      <c r="K560" s="570"/>
      <c r="O560" s="1223"/>
      <c r="Q560" s="1222"/>
    </row>
    <row r="561" spans="2:17" x14ac:dyDescent="0.4">
      <c r="B561" s="130"/>
      <c r="C561" s="611">
        <v>164</v>
      </c>
      <c r="D561" s="656" t="e">
        <f t="shared" ca="1" si="86"/>
        <v>#N/A</v>
      </c>
      <c r="E561" s="620"/>
      <c r="F561" s="620"/>
      <c r="G561" s="620"/>
      <c r="H561" s="620"/>
      <c r="I561" s="620"/>
      <c r="J561" s="620"/>
      <c r="K561" s="570"/>
      <c r="O561" s="1223"/>
      <c r="Q561" s="1222"/>
    </row>
    <row r="562" spans="2:17" x14ac:dyDescent="0.4">
      <c r="B562" s="130"/>
      <c r="C562" s="611">
        <v>165</v>
      </c>
      <c r="D562" s="656" t="e">
        <f t="shared" ca="1" si="86"/>
        <v>#N/A</v>
      </c>
      <c r="E562" s="620"/>
      <c r="F562" s="620"/>
      <c r="G562" s="620"/>
      <c r="H562" s="620"/>
      <c r="I562" s="620"/>
      <c r="J562" s="620"/>
      <c r="K562" s="570"/>
      <c r="O562" s="1223"/>
      <c r="Q562" s="1222"/>
    </row>
    <row r="563" spans="2:17" x14ac:dyDescent="0.4">
      <c r="B563" s="130"/>
      <c r="C563" s="611">
        <v>166</v>
      </c>
      <c r="D563" s="656" t="e">
        <f t="shared" ca="1" si="86"/>
        <v>#N/A</v>
      </c>
      <c r="E563" s="620"/>
      <c r="F563" s="620"/>
      <c r="G563" s="620"/>
      <c r="H563" s="620"/>
      <c r="I563" s="620"/>
      <c r="J563" s="620"/>
      <c r="K563" s="570"/>
      <c r="O563" s="1223"/>
      <c r="Q563" s="1222"/>
    </row>
    <row r="564" spans="2:17" x14ac:dyDescent="0.4">
      <c r="B564" s="130"/>
      <c r="C564" s="611">
        <v>167</v>
      </c>
      <c r="D564" s="656" t="e">
        <f t="shared" ca="1" si="86"/>
        <v>#N/A</v>
      </c>
      <c r="E564" s="620"/>
      <c r="F564" s="620"/>
      <c r="G564" s="620"/>
      <c r="H564" s="620"/>
      <c r="I564" s="620"/>
      <c r="J564" s="620"/>
      <c r="K564" s="570"/>
      <c r="O564" s="1223"/>
      <c r="Q564" s="1222"/>
    </row>
    <row r="565" spans="2:17" x14ac:dyDescent="0.4">
      <c r="B565" s="130"/>
      <c r="C565" s="611">
        <v>168</v>
      </c>
      <c r="D565" s="656" t="e">
        <f t="shared" ca="1" si="86"/>
        <v>#N/A</v>
      </c>
      <c r="E565" s="620"/>
      <c r="F565" s="620"/>
      <c r="G565" s="620"/>
      <c r="H565" s="620"/>
      <c r="I565" s="620"/>
      <c r="J565" s="620"/>
      <c r="K565" s="570"/>
      <c r="O565" s="1223"/>
      <c r="Q565" s="1222"/>
    </row>
    <row r="566" spans="2:17" x14ac:dyDescent="0.4">
      <c r="B566" s="130"/>
      <c r="C566" s="611">
        <v>169</v>
      </c>
      <c r="D566" s="656" t="e">
        <f t="shared" ca="1" si="86"/>
        <v>#N/A</v>
      </c>
      <c r="E566" s="620"/>
      <c r="F566" s="620"/>
      <c r="G566" s="620"/>
      <c r="H566" s="620"/>
      <c r="I566" s="620"/>
      <c r="J566" s="620"/>
      <c r="K566" s="570"/>
      <c r="O566" s="1223"/>
      <c r="Q566" s="1222"/>
    </row>
    <row r="567" spans="2:17" x14ac:dyDescent="0.4">
      <c r="B567" s="130"/>
      <c r="C567" s="611">
        <v>170</v>
      </c>
      <c r="D567" s="656" t="e">
        <f t="shared" ca="1" si="86"/>
        <v>#N/A</v>
      </c>
      <c r="E567" s="620"/>
      <c r="F567" s="620"/>
      <c r="G567" s="620"/>
      <c r="H567" s="620"/>
      <c r="I567" s="620"/>
      <c r="J567" s="620"/>
      <c r="K567" s="570"/>
      <c r="O567" s="1223"/>
      <c r="Q567" s="1222"/>
    </row>
    <row r="568" spans="2:17" x14ac:dyDescent="0.4">
      <c r="B568" s="130"/>
      <c r="C568" s="611">
        <v>171</v>
      </c>
      <c r="D568" s="656" t="e">
        <f t="shared" ca="1" si="86"/>
        <v>#N/A</v>
      </c>
      <c r="E568" s="620"/>
      <c r="F568" s="620"/>
      <c r="G568" s="620"/>
      <c r="H568" s="620"/>
      <c r="I568" s="620"/>
      <c r="J568" s="620"/>
      <c r="K568" s="570"/>
      <c r="O568" s="1223"/>
      <c r="Q568" s="1222"/>
    </row>
    <row r="569" spans="2:17" x14ac:dyDescent="0.4">
      <c r="B569" s="130"/>
      <c r="C569" s="611">
        <v>172</v>
      </c>
      <c r="D569" s="656" t="e">
        <f t="shared" ca="1" si="86"/>
        <v>#N/A</v>
      </c>
      <c r="E569" s="620"/>
      <c r="F569" s="620"/>
      <c r="G569" s="620"/>
      <c r="H569" s="620"/>
      <c r="I569" s="620"/>
      <c r="J569" s="620"/>
      <c r="K569" s="570"/>
      <c r="O569" s="1223"/>
      <c r="Q569" s="1222"/>
    </row>
    <row r="570" spans="2:17" x14ac:dyDescent="0.4">
      <c r="B570" s="130"/>
      <c r="C570" s="611">
        <v>173</v>
      </c>
      <c r="D570" s="656" t="e">
        <f t="shared" ca="1" si="86"/>
        <v>#N/A</v>
      </c>
      <c r="E570" s="620"/>
      <c r="F570" s="620"/>
      <c r="G570" s="620"/>
      <c r="H570" s="620"/>
      <c r="I570" s="620"/>
      <c r="J570" s="620"/>
      <c r="K570" s="570"/>
      <c r="O570" s="1223"/>
      <c r="Q570" s="1222"/>
    </row>
    <row r="571" spans="2:17" x14ac:dyDescent="0.4">
      <c r="B571" s="130"/>
      <c r="C571" s="611">
        <v>174</v>
      </c>
      <c r="D571" s="656" t="e">
        <f t="shared" ca="1" si="86"/>
        <v>#N/A</v>
      </c>
      <c r="E571" s="620"/>
      <c r="F571" s="620"/>
      <c r="G571" s="620"/>
      <c r="H571" s="620"/>
      <c r="I571" s="620"/>
      <c r="J571" s="620"/>
      <c r="K571" s="570"/>
      <c r="O571" s="1223"/>
      <c r="Q571" s="1222"/>
    </row>
    <row r="572" spans="2:17" x14ac:dyDescent="0.4">
      <c r="B572" s="130"/>
      <c r="C572" s="611">
        <v>175</v>
      </c>
      <c r="D572" s="656" t="e">
        <f t="shared" ca="1" si="86"/>
        <v>#N/A</v>
      </c>
      <c r="E572" s="620"/>
      <c r="F572" s="620"/>
      <c r="G572" s="620"/>
      <c r="H572" s="620"/>
      <c r="I572" s="620"/>
      <c r="J572" s="620"/>
      <c r="K572" s="570"/>
      <c r="O572" s="1223"/>
      <c r="Q572" s="1222"/>
    </row>
    <row r="573" spans="2:17" x14ac:dyDescent="0.4">
      <c r="B573" s="130"/>
      <c r="C573" s="611">
        <v>176</v>
      </c>
      <c r="D573" s="656" t="e">
        <f t="shared" ca="1" si="86"/>
        <v>#N/A</v>
      </c>
      <c r="E573" s="620"/>
      <c r="F573" s="620"/>
      <c r="G573" s="620"/>
      <c r="H573" s="620"/>
      <c r="I573" s="620"/>
      <c r="J573" s="620"/>
      <c r="K573" s="570"/>
      <c r="O573" s="1223"/>
      <c r="Q573" s="1222"/>
    </row>
    <row r="574" spans="2:17" x14ac:dyDescent="0.4">
      <c r="B574" s="130"/>
      <c r="C574" s="611">
        <v>177</v>
      </c>
      <c r="D574" s="656" t="e">
        <f t="shared" ca="1" si="86"/>
        <v>#N/A</v>
      </c>
      <c r="E574" s="620"/>
      <c r="F574" s="620"/>
      <c r="G574" s="620"/>
      <c r="H574" s="620"/>
      <c r="I574" s="620"/>
      <c r="J574" s="620"/>
      <c r="K574" s="570"/>
      <c r="O574" s="1223"/>
      <c r="Q574" s="1222"/>
    </row>
    <row r="575" spans="2:17" x14ac:dyDescent="0.4">
      <c r="B575" s="130"/>
      <c r="C575" s="611">
        <v>178</v>
      </c>
      <c r="D575" s="656" t="e">
        <f t="shared" ca="1" si="86"/>
        <v>#N/A</v>
      </c>
      <c r="E575" s="620"/>
      <c r="F575" s="620"/>
      <c r="G575" s="620"/>
      <c r="H575" s="620"/>
      <c r="I575" s="620"/>
      <c r="J575" s="620"/>
      <c r="K575" s="570"/>
      <c r="O575" s="1223"/>
      <c r="Q575" s="1222"/>
    </row>
    <row r="576" spans="2:17" x14ac:dyDescent="0.4">
      <c r="B576" s="130"/>
      <c r="C576" s="611">
        <v>179</v>
      </c>
      <c r="D576" s="656" t="e">
        <f t="shared" ca="1" si="86"/>
        <v>#N/A</v>
      </c>
      <c r="E576" s="620"/>
      <c r="F576" s="620"/>
      <c r="G576" s="620"/>
      <c r="H576" s="620"/>
      <c r="I576" s="620"/>
      <c r="J576" s="620"/>
      <c r="K576" s="570"/>
      <c r="O576" s="1223"/>
      <c r="Q576" s="1222"/>
    </row>
    <row r="577" spans="2:17" x14ac:dyDescent="0.4">
      <c r="B577" s="130"/>
      <c r="C577" s="611">
        <v>180</v>
      </c>
      <c r="D577" s="656" t="e">
        <f t="shared" ca="1" si="86"/>
        <v>#N/A</v>
      </c>
      <c r="E577" s="620"/>
      <c r="F577" s="620"/>
      <c r="G577" s="620"/>
      <c r="H577" s="620"/>
      <c r="I577" s="620"/>
      <c r="J577" s="620"/>
      <c r="K577" s="570"/>
      <c r="O577" s="1223"/>
      <c r="Q577" s="1222"/>
    </row>
    <row r="578" spans="2:17" x14ac:dyDescent="0.4">
      <c r="B578" s="130"/>
      <c r="C578" s="611">
        <v>181</v>
      </c>
      <c r="D578" s="656" t="e">
        <f t="shared" ca="1" si="86"/>
        <v>#N/A</v>
      </c>
      <c r="E578" s="620"/>
      <c r="F578" s="620"/>
      <c r="G578" s="620"/>
      <c r="H578" s="620"/>
      <c r="I578" s="620"/>
      <c r="J578" s="620"/>
      <c r="K578" s="570"/>
      <c r="O578" s="1223"/>
      <c r="Q578" s="1222"/>
    </row>
    <row r="579" spans="2:17" x14ac:dyDescent="0.4">
      <c r="B579" s="130"/>
      <c r="C579" s="611">
        <v>182</v>
      </c>
      <c r="D579" s="656" t="e">
        <f t="shared" ca="1" si="86"/>
        <v>#N/A</v>
      </c>
      <c r="E579" s="620"/>
      <c r="F579" s="620"/>
      <c r="G579" s="620"/>
      <c r="H579" s="620"/>
      <c r="I579" s="620"/>
      <c r="J579" s="620"/>
      <c r="K579" s="570"/>
      <c r="O579" s="1223"/>
      <c r="Q579" s="1222"/>
    </row>
    <row r="580" spans="2:17" x14ac:dyDescent="0.4">
      <c r="B580" s="130"/>
      <c r="C580" s="611">
        <v>183</v>
      </c>
      <c r="D580" s="656" t="e">
        <f t="shared" ca="1" si="86"/>
        <v>#N/A</v>
      </c>
      <c r="E580" s="620"/>
      <c r="F580" s="620"/>
      <c r="G580" s="620"/>
      <c r="H580" s="620"/>
      <c r="I580" s="620"/>
      <c r="J580" s="620"/>
      <c r="K580" s="570"/>
      <c r="O580" s="1223"/>
      <c r="Q580" s="1222"/>
    </row>
    <row r="581" spans="2:17" x14ac:dyDescent="0.4">
      <c r="B581" s="130"/>
      <c r="C581" s="611">
        <v>184</v>
      </c>
      <c r="D581" s="656" t="e">
        <f t="shared" ca="1" si="86"/>
        <v>#N/A</v>
      </c>
      <c r="E581" s="620"/>
      <c r="F581" s="620"/>
      <c r="G581" s="620"/>
      <c r="H581" s="620"/>
      <c r="I581" s="620"/>
      <c r="J581" s="620"/>
      <c r="K581" s="570"/>
      <c r="O581" s="1223"/>
      <c r="Q581" s="1222"/>
    </row>
    <row r="582" spans="2:17" x14ac:dyDescent="0.4">
      <c r="B582" s="130"/>
      <c r="C582" s="611">
        <v>185</v>
      </c>
      <c r="D582" s="656" t="e">
        <f t="shared" ca="1" si="86"/>
        <v>#N/A</v>
      </c>
      <c r="E582" s="620"/>
      <c r="F582" s="620"/>
      <c r="G582" s="620"/>
      <c r="H582" s="620"/>
      <c r="I582" s="620"/>
      <c r="J582" s="620"/>
      <c r="K582" s="570"/>
      <c r="O582" s="1223"/>
      <c r="Q582" s="1222"/>
    </row>
    <row r="583" spans="2:17" x14ac:dyDescent="0.4">
      <c r="B583" s="130"/>
      <c r="C583" s="611">
        <v>186</v>
      </c>
      <c r="D583" s="656" t="e">
        <f t="shared" ca="1" si="86"/>
        <v>#N/A</v>
      </c>
      <c r="E583" s="620"/>
      <c r="F583" s="620"/>
      <c r="G583" s="620"/>
      <c r="H583" s="620"/>
      <c r="I583" s="620"/>
      <c r="J583" s="620"/>
      <c r="K583" s="570"/>
      <c r="O583" s="1223"/>
      <c r="Q583" s="1222"/>
    </row>
    <row r="584" spans="2:17" x14ac:dyDescent="0.4">
      <c r="B584" s="130"/>
      <c r="C584" s="611">
        <v>187</v>
      </c>
      <c r="D584" s="656" t="e">
        <f t="shared" ca="1" si="86"/>
        <v>#N/A</v>
      </c>
      <c r="E584" s="620"/>
      <c r="F584" s="620"/>
      <c r="G584" s="620"/>
      <c r="H584" s="620"/>
      <c r="I584" s="620"/>
      <c r="J584" s="620"/>
      <c r="K584" s="570"/>
      <c r="O584" s="1223"/>
      <c r="Q584" s="1222"/>
    </row>
    <row r="585" spans="2:17" x14ac:dyDescent="0.4">
      <c r="B585" s="130"/>
      <c r="C585" s="611">
        <v>188</v>
      </c>
      <c r="D585" s="656" t="e">
        <f t="shared" ca="1" si="86"/>
        <v>#N/A</v>
      </c>
      <c r="E585" s="620"/>
      <c r="F585" s="620"/>
      <c r="G585" s="620"/>
      <c r="H585" s="620"/>
      <c r="I585" s="620"/>
      <c r="J585" s="620"/>
      <c r="K585" s="570"/>
      <c r="O585" s="1223"/>
      <c r="Q585" s="1222"/>
    </row>
    <row r="586" spans="2:17" x14ac:dyDescent="0.4">
      <c r="B586" s="130"/>
      <c r="C586" s="611">
        <v>189</v>
      </c>
      <c r="D586" s="656" t="e">
        <f t="shared" ca="1" si="86"/>
        <v>#N/A</v>
      </c>
      <c r="E586" s="620"/>
      <c r="F586" s="620"/>
      <c r="G586" s="620"/>
      <c r="H586" s="620"/>
      <c r="I586" s="620"/>
      <c r="J586" s="620"/>
      <c r="K586" s="570"/>
      <c r="O586" s="1223"/>
      <c r="Q586" s="1222"/>
    </row>
    <row r="587" spans="2:17" x14ac:dyDescent="0.4">
      <c r="B587" s="130"/>
      <c r="C587" s="611">
        <v>190</v>
      </c>
      <c r="D587" s="656" t="e">
        <f t="shared" ca="1" si="86"/>
        <v>#N/A</v>
      </c>
      <c r="E587" s="620"/>
      <c r="F587" s="620"/>
      <c r="G587" s="620"/>
      <c r="H587" s="620"/>
      <c r="I587" s="620"/>
      <c r="J587" s="620"/>
      <c r="K587" s="570"/>
      <c r="O587" s="1223"/>
      <c r="Q587" s="1222"/>
    </row>
    <row r="588" spans="2:17" x14ac:dyDescent="0.4">
      <c r="B588" s="130"/>
      <c r="C588" s="611">
        <v>191</v>
      </c>
      <c r="D588" s="656" t="e">
        <f t="shared" ca="1" si="86"/>
        <v>#N/A</v>
      </c>
      <c r="E588" s="620"/>
      <c r="F588" s="620"/>
      <c r="G588" s="620"/>
      <c r="H588" s="620"/>
      <c r="I588" s="620"/>
      <c r="J588" s="620"/>
      <c r="K588" s="570"/>
      <c r="O588" s="1223"/>
      <c r="Q588" s="1222"/>
    </row>
    <row r="589" spans="2:17" x14ac:dyDescent="0.4">
      <c r="B589" s="130"/>
      <c r="C589" s="611">
        <v>192</v>
      </c>
      <c r="D589" s="656" t="e">
        <f t="shared" ref="D589:D652" ca="1" si="87">$C$376*C589</f>
        <v>#N/A</v>
      </c>
      <c r="E589" s="620"/>
      <c r="F589" s="620"/>
      <c r="G589" s="620"/>
      <c r="H589" s="620"/>
      <c r="I589" s="620"/>
      <c r="J589" s="620"/>
      <c r="K589" s="570"/>
      <c r="O589" s="1223"/>
      <c r="Q589" s="1222"/>
    </row>
    <row r="590" spans="2:17" x14ac:dyDescent="0.4">
      <c r="B590" s="130"/>
      <c r="C590" s="611">
        <v>193</v>
      </c>
      <c r="D590" s="656" t="e">
        <f t="shared" ca="1" si="87"/>
        <v>#N/A</v>
      </c>
      <c r="E590" s="620"/>
      <c r="F590" s="620"/>
      <c r="G590" s="620"/>
      <c r="H590" s="620"/>
      <c r="I590" s="620"/>
      <c r="J590" s="620"/>
      <c r="K590" s="570"/>
      <c r="O590" s="1223"/>
      <c r="Q590" s="1222"/>
    </row>
    <row r="591" spans="2:17" x14ac:dyDescent="0.4">
      <c r="B591" s="130"/>
      <c r="C591" s="611">
        <v>194</v>
      </c>
      <c r="D591" s="656" t="e">
        <f t="shared" ca="1" si="87"/>
        <v>#N/A</v>
      </c>
      <c r="E591" s="620"/>
      <c r="F591" s="620"/>
      <c r="G591" s="620"/>
      <c r="H591" s="620"/>
      <c r="I591" s="620"/>
      <c r="J591" s="620"/>
      <c r="K591" s="570"/>
      <c r="O591" s="1223"/>
      <c r="Q591" s="1222"/>
    </row>
    <row r="592" spans="2:17" x14ac:dyDescent="0.4">
      <c r="B592" s="130"/>
      <c r="C592" s="611">
        <v>195</v>
      </c>
      <c r="D592" s="656" t="e">
        <f t="shared" ca="1" si="87"/>
        <v>#N/A</v>
      </c>
      <c r="E592" s="620"/>
      <c r="F592" s="620"/>
      <c r="G592" s="620"/>
      <c r="H592" s="620"/>
      <c r="I592" s="620"/>
      <c r="J592" s="620"/>
      <c r="K592" s="570"/>
      <c r="O592" s="1223"/>
      <c r="Q592" s="1222"/>
    </row>
    <row r="593" spans="2:17" x14ac:dyDescent="0.4">
      <c r="B593" s="130"/>
      <c r="C593" s="611">
        <v>196</v>
      </c>
      <c r="D593" s="656" t="e">
        <f t="shared" ca="1" si="87"/>
        <v>#N/A</v>
      </c>
      <c r="E593" s="620"/>
      <c r="F593" s="620"/>
      <c r="G593" s="620"/>
      <c r="H593" s="620"/>
      <c r="I593" s="620"/>
      <c r="J593" s="620"/>
      <c r="K593" s="570"/>
      <c r="O593" s="1223"/>
      <c r="Q593" s="1222"/>
    </row>
    <row r="594" spans="2:17" x14ac:dyDescent="0.4">
      <c r="B594" s="130"/>
      <c r="C594" s="611">
        <v>197</v>
      </c>
      <c r="D594" s="656" t="e">
        <f t="shared" ca="1" si="87"/>
        <v>#N/A</v>
      </c>
      <c r="E594" s="620"/>
      <c r="F594" s="620"/>
      <c r="G594" s="620"/>
      <c r="H594" s="620"/>
      <c r="I594" s="620"/>
      <c r="J594" s="620"/>
      <c r="K594" s="570"/>
      <c r="O594" s="1223"/>
      <c r="Q594" s="1222"/>
    </row>
    <row r="595" spans="2:17" x14ac:dyDescent="0.4">
      <c r="B595" s="130"/>
      <c r="C595" s="611">
        <v>198</v>
      </c>
      <c r="D595" s="656" t="e">
        <f t="shared" ca="1" si="87"/>
        <v>#N/A</v>
      </c>
      <c r="E595" s="620"/>
      <c r="F595" s="620"/>
      <c r="G595" s="620"/>
      <c r="H595" s="620"/>
      <c r="I595" s="620"/>
      <c r="J595" s="620"/>
      <c r="K595" s="570"/>
      <c r="O595" s="1223"/>
      <c r="Q595" s="1222"/>
    </row>
    <row r="596" spans="2:17" x14ac:dyDescent="0.4">
      <c r="B596" s="130"/>
      <c r="C596" s="611">
        <v>199</v>
      </c>
      <c r="D596" s="656" t="e">
        <f t="shared" ca="1" si="87"/>
        <v>#N/A</v>
      </c>
      <c r="E596" s="620"/>
      <c r="F596" s="620"/>
      <c r="G596" s="620"/>
      <c r="H596" s="620"/>
      <c r="I596" s="620"/>
      <c r="J596" s="620"/>
      <c r="K596" s="570"/>
      <c r="O596" s="1223"/>
      <c r="Q596" s="1222"/>
    </row>
    <row r="597" spans="2:17" x14ac:dyDescent="0.4">
      <c r="B597" s="130"/>
      <c r="C597" s="611">
        <v>200</v>
      </c>
      <c r="D597" s="656" t="e">
        <f t="shared" ca="1" si="87"/>
        <v>#N/A</v>
      </c>
      <c r="E597" s="620"/>
      <c r="F597" s="620"/>
      <c r="G597" s="620"/>
      <c r="H597" s="620"/>
      <c r="I597" s="620"/>
      <c r="J597" s="620"/>
      <c r="K597" s="570"/>
      <c r="O597" s="1223"/>
      <c r="Q597" s="1222"/>
    </row>
    <row r="598" spans="2:17" x14ac:dyDescent="0.4">
      <c r="B598" s="130"/>
      <c r="C598" s="611">
        <v>201</v>
      </c>
      <c r="D598" s="656" t="e">
        <f t="shared" ca="1" si="87"/>
        <v>#N/A</v>
      </c>
      <c r="E598" s="620"/>
      <c r="F598" s="620"/>
      <c r="G598" s="620"/>
      <c r="H598" s="620"/>
      <c r="I598" s="620"/>
      <c r="J598" s="620"/>
      <c r="K598" s="570"/>
      <c r="O598" s="1223"/>
      <c r="Q598" s="1222"/>
    </row>
    <row r="599" spans="2:17" x14ac:dyDescent="0.4">
      <c r="B599" s="130"/>
      <c r="C599" s="611">
        <v>202</v>
      </c>
      <c r="D599" s="656" t="e">
        <f t="shared" ca="1" si="87"/>
        <v>#N/A</v>
      </c>
      <c r="E599" s="620"/>
      <c r="F599" s="620"/>
      <c r="G599" s="620"/>
      <c r="H599" s="620"/>
      <c r="I599" s="620"/>
      <c r="J599" s="620"/>
      <c r="K599" s="570"/>
      <c r="O599" s="1223"/>
      <c r="Q599" s="1222"/>
    </row>
    <row r="600" spans="2:17" x14ac:dyDescent="0.4">
      <c r="B600" s="130"/>
      <c r="C600" s="611">
        <v>203</v>
      </c>
      <c r="D600" s="656" t="e">
        <f t="shared" ca="1" si="87"/>
        <v>#N/A</v>
      </c>
      <c r="E600" s="620"/>
      <c r="F600" s="620"/>
      <c r="G600" s="620"/>
      <c r="H600" s="620"/>
      <c r="I600" s="620"/>
      <c r="J600" s="620"/>
      <c r="K600" s="570"/>
      <c r="O600" s="1223"/>
      <c r="Q600" s="1222"/>
    </row>
    <row r="601" spans="2:17" x14ac:dyDescent="0.4">
      <c r="B601" s="130"/>
      <c r="C601" s="611">
        <v>204</v>
      </c>
      <c r="D601" s="656" t="e">
        <f t="shared" ca="1" si="87"/>
        <v>#N/A</v>
      </c>
      <c r="E601" s="620"/>
      <c r="F601" s="620"/>
      <c r="G601" s="620"/>
      <c r="H601" s="620"/>
      <c r="I601" s="620"/>
      <c r="J601" s="620"/>
      <c r="K601" s="570"/>
      <c r="O601" s="1223"/>
      <c r="Q601" s="1222"/>
    </row>
    <row r="602" spans="2:17" x14ac:dyDescent="0.4">
      <c r="B602" s="130"/>
      <c r="C602" s="611">
        <v>205</v>
      </c>
      <c r="D602" s="656" t="e">
        <f t="shared" ca="1" si="87"/>
        <v>#N/A</v>
      </c>
      <c r="E602" s="620"/>
      <c r="F602" s="620"/>
      <c r="G602" s="620"/>
      <c r="H602" s="620"/>
      <c r="I602" s="620"/>
      <c r="J602" s="620"/>
      <c r="K602" s="570"/>
      <c r="O602" s="1223"/>
      <c r="Q602" s="1222"/>
    </row>
    <row r="603" spans="2:17" x14ac:dyDescent="0.4">
      <c r="B603" s="130"/>
      <c r="C603" s="611">
        <v>206</v>
      </c>
      <c r="D603" s="656" t="e">
        <f t="shared" ca="1" si="87"/>
        <v>#N/A</v>
      </c>
      <c r="E603" s="620"/>
      <c r="F603" s="620"/>
      <c r="G603" s="620"/>
      <c r="H603" s="620"/>
      <c r="I603" s="620"/>
      <c r="J603" s="620"/>
      <c r="K603" s="570"/>
      <c r="O603" s="1223"/>
      <c r="Q603" s="1222"/>
    </row>
    <row r="604" spans="2:17" x14ac:dyDescent="0.4">
      <c r="B604" s="130"/>
      <c r="C604" s="611">
        <v>207</v>
      </c>
      <c r="D604" s="656" t="e">
        <f t="shared" ca="1" si="87"/>
        <v>#N/A</v>
      </c>
      <c r="E604" s="620"/>
      <c r="F604" s="620"/>
      <c r="G604" s="620"/>
      <c r="H604" s="620"/>
      <c r="I604" s="620"/>
      <c r="J604" s="620"/>
      <c r="K604" s="570"/>
      <c r="O604" s="1223"/>
      <c r="Q604" s="1222"/>
    </row>
    <row r="605" spans="2:17" x14ac:dyDescent="0.4">
      <c r="B605" s="130"/>
      <c r="C605" s="611">
        <v>208</v>
      </c>
      <c r="D605" s="656" t="e">
        <f t="shared" ca="1" si="87"/>
        <v>#N/A</v>
      </c>
      <c r="E605" s="620"/>
      <c r="F605" s="620"/>
      <c r="G605" s="620"/>
      <c r="H605" s="620"/>
      <c r="I605" s="620"/>
      <c r="J605" s="620"/>
      <c r="K605" s="570"/>
      <c r="O605" s="1223"/>
      <c r="Q605" s="1222"/>
    </row>
    <row r="606" spans="2:17" x14ac:dyDescent="0.4">
      <c r="B606" s="130"/>
      <c r="C606" s="611">
        <v>209</v>
      </c>
      <c r="D606" s="656" t="e">
        <f t="shared" ca="1" si="87"/>
        <v>#N/A</v>
      </c>
      <c r="E606" s="620"/>
      <c r="F606" s="620"/>
      <c r="G606" s="620"/>
      <c r="H606" s="620"/>
      <c r="I606" s="620"/>
      <c r="J606" s="620"/>
      <c r="K606" s="570"/>
      <c r="O606" s="1223"/>
      <c r="Q606" s="1222"/>
    </row>
    <row r="607" spans="2:17" x14ac:dyDescent="0.4">
      <c r="B607" s="130"/>
      <c r="C607" s="611">
        <v>210</v>
      </c>
      <c r="D607" s="656" t="e">
        <f t="shared" ca="1" si="87"/>
        <v>#N/A</v>
      </c>
      <c r="E607" s="620"/>
      <c r="F607" s="620"/>
      <c r="G607" s="620"/>
      <c r="H607" s="620"/>
      <c r="I607" s="620"/>
      <c r="J607" s="620"/>
      <c r="K607" s="570"/>
      <c r="O607" s="1223"/>
      <c r="Q607" s="1222"/>
    </row>
    <row r="608" spans="2:17" x14ac:dyDescent="0.4">
      <c r="B608" s="130"/>
      <c r="C608" s="611">
        <v>211</v>
      </c>
      <c r="D608" s="656" t="e">
        <f t="shared" ca="1" si="87"/>
        <v>#N/A</v>
      </c>
      <c r="E608" s="620"/>
      <c r="F608" s="620"/>
      <c r="G608" s="620"/>
      <c r="H608" s="620"/>
      <c r="I608" s="620"/>
      <c r="J608" s="620"/>
      <c r="K608" s="570"/>
      <c r="O608" s="1223"/>
      <c r="Q608" s="1222"/>
    </row>
    <row r="609" spans="2:17" x14ac:dyDescent="0.4">
      <c r="B609" s="130"/>
      <c r="C609" s="611">
        <v>212</v>
      </c>
      <c r="D609" s="656" t="e">
        <f t="shared" ca="1" si="87"/>
        <v>#N/A</v>
      </c>
      <c r="E609" s="620"/>
      <c r="F609" s="620"/>
      <c r="G609" s="620"/>
      <c r="H609" s="620"/>
      <c r="I609" s="620"/>
      <c r="J609" s="620"/>
      <c r="K609" s="570"/>
      <c r="O609" s="1223"/>
      <c r="Q609" s="1222"/>
    </row>
    <row r="610" spans="2:17" x14ac:dyDescent="0.4">
      <c r="B610" s="130"/>
      <c r="C610" s="611">
        <v>213</v>
      </c>
      <c r="D610" s="656" t="e">
        <f t="shared" ca="1" si="87"/>
        <v>#N/A</v>
      </c>
      <c r="E610" s="620"/>
      <c r="F610" s="620"/>
      <c r="G610" s="620"/>
      <c r="H610" s="620"/>
      <c r="I610" s="620"/>
      <c r="J610" s="620"/>
      <c r="K610" s="570"/>
      <c r="O610" s="1223"/>
      <c r="Q610" s="1222"/>
    </row>
    <row r="611" spans="2:17" x14ac:dyDescent="0.4">
      <c r="B611" s="130"/>
      <c r="C611" s="611">
        <v>214</v>
      </c>
      <c r="D611" s="656" t="e">
        <f t="shared" ca="1" si="87"/>
        <v>#N/A</v>
      </c>
      <c r="E611" s="620"/>
      <c r="F611" s="620"/>
      <c r="G611" s="620"/>
      <c r="H611" s="620"/>
      <c r="I611" s="620"/>
      <c r="J611" s="620"/>
      <c r="K611" s="570"/>
      <c r="O611" s="1223"/>
      <c r="Q611" s="1222"/>
    </row>
    <row r="612" spans="2:17" x14ac:dyDescent="0.4">
      <c r="B612" s="130"/>
      <c r="C612" s="611">
        <v>215</v>
      </c>
      <c r="D612" s="656" t="e">
        <f t="shared" ca="1" si="87"/>
        <v>#N/A</v>
      </c>
      <c r="E612" s="620"/>
      <c r="F612" s="620"/>
      <c r="G612" s="620"/>
      <c r="H612" s="620"/>
      <c r="I612" s="620"/>
      <c r="J612" s="620"/>
      <c r="K612" s="570"/>
      <c r="O612" s="1223"/>
      <c r="Q612" s="1222"/>
    </row>
    <row r="613" spans="2:17" x14ac:dyDescent="0.4">
      <c r="B613" s="130"/>
      <c r="C613" s="611">
        <v>216</v>
      </c>
      <c r="D613" s="656" t="e">
        <f t="shared" ca="1" si="87"/>
        <v>#N/A</v>
      </c>
      <c r="E613" s="620"/>
      <c r="F613" s="620"/>
      <c r="G613" s="620"/>
      <c r="H613" s="620"/>
      <c r="I613" s="620"/>
      <c r="J613" s="620"/>
      <c r="K613" s="570"/>
      <c r="O613" s="1223"/>
      <c r="Q613" s="1222"/>
    </row>
    <row r="614" spans="2:17" x14ac:dyDescent="0.4">
      <c r="B614" s="130"/>
      <c r="C614" s="611">
        <v>217</v>
      </c>
      <c r="D614" s="656" t="e">
        <f t="shared" ca="1" si="87"/>
        <v>#N/A</v>
      </c>
      <c r="E614" s="620"/>
      <c r="F614" s="620"/>
      <c r="G614" s="620"/>
      <c r="H614" s="620"/>
      <c r="I614" s="620"/>
      <c r="J614" s="620"/>
      <c r="K614" s="570"/>
      <c r="O614" s="1223"/>
      <c r="Q614" s="1222"/>
    </row>
    <row r="615" spans="2:17" x14ac:dyDescent="0.4">
      <c r="B615" s="130"/>
      <c r="C615" s="611">
        <v>218</v>
      </c>
      <c r="D615" s="656" t="e">
        <f t="shared" ca="1" si="87"/>
        <v>#N/A</v>
      </c>
      <c r="E615" s="620"/>
      <c r="F615" s="620"/>
      <c r="G615" s="620"/>
      <c r="H615" s="620"/>
      <c r="I615" s="620"/>
      <c r="J615" s="620"/>
      <c r="K615" s="570"/>
      <c r="O615" s="1223"/>
      <c r="Q615" s="1222"/>
    </row>
    <row r="616" spans="2:17" x14ac:dyDescent="0.4">
      <c r="B616" s="130"/>
      <c r="C616" s="611">
        <v>219</v>
      </c>
      <c r="D616" s="656" t="e">
        <f t="shared" ca="1" si="87"/>
        <v>#N/A</v>
      </c>
      <c r="E616" s="620"/>
      <c r="F616" s="620"/>
      <c r="G616" s="620"/>
      <c r="H616" s="620"/>
      <c r="I616" s="620"/>
      <c r="J616" s="620"/>
      <c r="K616" s="570"/>
      <c r="O616" s="1223"/>
      <c r="Q616" s="1222"/>
    </row>
    <row r="617" spans="2:17" x14ac:dyDescent="0.4">
      <c r="B617" s="130"/>
      <c r="C617" s="611">
        <v>220</v>
      </c>
      <c r="D617" s="656" t="e">
        <f t="shared" ca="1" si="87"/>
        <v>#N/A</v>
      </c>
      <c r="E617" s="620"/>
      <c r="F617" s="620"/>
      <c r="G617" s="620"/>
      <c r="H617" s="620"/>
      <c r="I617" s="620"/>
      <c r="J617" s="620"/>
      <c r="K617" s="570"/>
      <c r="O617" s="1223"/>
      <c r="Q617" s="1222"/>
    </row>
    <row r="618" spans="2:17" x14ac:dyDescent="0.4">
      <c r="B618" s="130"/>
      <c r="C618" s="611">
        <v>221</v>
      </c>
      <c r="D618" s="656" t="e">
        <f t="shared" ca="1" si="87"/>
        <v>#N/A</v>
      </c>
      <c r="E618" s="620"/>
      <c r="F618" s="620"/>
      <c r="G618" s="620"/>
      <c r="H618" s="620"/>
      <c r="I618" s="620"/>
      <c r="J618" s="620"/>
      <c r="K618" s="570"/>
      <c r="O618" s="1223"/>
      <c r="Q618" s="1222"/>
    </row>
    <row r="619" spans="2:17" x14ac:dyDescent="0.4">
      <c r="B619" s="130"/>
      <c r="C619" s="611">
        <v>222</v>
      </c>
      <c r="D619" s="656" t="e">
        <f t="shared" ca="1" si="87"/>
        <v>#N/A</v>
      </c>
      <c r="E619" s="620"/>
      <c r="F619" s="620"/>
      <c r="G619" s="620"/>
      <c r="H619" s="620"/>
      <c r="I619" s="620"/>
      <c r="J619" s="620"/>
      <c r="K619" s="570"/>
      <c r="O619" s="1223"/>
      <c r="Q619" s="1222"/>
    </row>
    <row r="620" spans="2:17" x14ac:dyDescent="0.4">
      <c r="B620" s="130"/>
      <c r="C620" s="611">
        <v>223</v>
      </c>
      <c r="D620" s="656" t="e">
        <f t="shared" ca="1" si="87"/>
        <v>#N/A</v>
      </c>
      <c r="E620" s="620"/>
      <c r="F620" s="620"/>
      <c r="G620" s="620"/>
      <c r="H620" s="620"/>
      <c r="I620" s="620"/>
      <c r="J620" s="620"/>
      <c r="K620" s="570"/>
      <c r="O620" s="1223"/>
      <c r="Q620" s="1222"/>
    </row>
    <row r="621" spans="2:17" x14ac:dyDescent="0.4">
      <c r="B621" s="130"/>
      <c r="C621" s="611">
        <v>224</v>
      </c>
      <c r="D621" s="656" t="e">
        <f t="shared" ca="1" si="87"/>
        <v>#N/A</v>
      </c>
      <c r="E621" s="620"/>
      <c r="F621" s="620"/>
      <c r="G621" s="620"/>
      <c r="H621" s="620"/>
      <c r="I621" s="620"/>
      <c r="J621" s="620"/>
      <c r="K621" s="570"/>
      <c r="O621" s="1223"/>
      <c r="Q621" s="1222"/>
    </row>
    <row r="622" spans="2:17" x14ac:dyDescent="0.4">
      <c r="B622" s="130"/>
      <c r="C622" s="611">
        <v>225</v>
      </c>
      <c r="D622" s="656" t="e">
        <f t="shared" ca="1" si="87"/>
        <v>#N/A</v>
      </c>
      <c r="E622" s="620"/>
      <c r="F622" s="620"/>
      <c r="G622" s="620"/>
      <c r="H622" s="620"/>
      <c r="I622" s="620"/>
      <c r="J622" s="620"/>
      <c r="K622" s="570"/>
      <c r="O622" s="1223"/>
      <c r="Q622" s="1222"/>
    </row>
    <row r="623" spans="2:17" x14ac:dyDescent="0.4">
      <c r="B623" s="130"/>
      <c r="C623" s="611">
        <v>226</v>
      </c>
      <c r="D623" s="656" t="e">
        <f t="shared" ca="1" si="87"/>
        <v>#N/A</v>
      </c>
      <c r="E623" s="620"/>
      <c r="F623" s="620"/>
      <c r="G623" s="620"/>
      <c r="H623" s="620"/>
      <c r="I623" s="620"/>
      <c r="J623" s="620"/>
      <c r="K623" s="570"/>
      <c r="O623" s="1223"/>
      <c r="Q623" s="1222"/>
    </row>
    <row r="624" spans="2:17" x14ac:dyDescent="0.4">
      <c r="B624" s="130"/>
      <c r="C624" s="611">
        <v>227</v>
      </c>
      <c r="D624" s="656" t="e">
        <f t="shared" ca="1" si="87"/>
        <v>#N/A</v>
      </c>
      <c r="E624" s="620"/>
      <c r="F624" s="620"/>
      <c r="G624" s="620"/>
      <c r="H624" s="620"/>
      <c r="I624" s="620"/>
      <c r="J624" s="620"/>
      <c r="K624" s="570"/>
      <c r="O624" s="1223"/>
      <c r="Q624" s="1222"/>
    </row>
    <row r="625" spans="2:17" x14ac:dyDescent="0.4">
      <c r="B625" s="130"/>
      <c r="C625" s="611">
        <v>228</v>
      </c>
      <c r="D625" s="656" t="e">
        <f t="shared" ca="1" si="87"/>
        <v>#N/A</v>
      </c>
      <c r="E625" s="620"/>
      <c r="F625" s="620"/>
      <c r="G625" s="620"/>
      <c r="H625" s="620"/>
      <c r="I625" s="620"/>
      <c r="J625" s="620"/>
      <c r="K625" s="570"/>
      <c r="O625" s="1223"/>
      <c r="Q625" s="1222"/>
    </row>
    <row r="626" spans="2:17" x14ac:dyDescent="0.4">
      <c r="B626" s="130"/>
      <c r="C626" s="611">
        <v>229</v>
      </c>
      <c r="D626" s="656" t="e">
        <f t="shared" ca="1" si="87"/>
        <v>#N/A</v>
      </c>
      <c r="E626" s="620"/>
      <c r="F626" s="620"/>
      <c r="G626" s="620"/>
      <c r="H626" s="620"/>
      <c r="I626" s="620"/>
      <c r="J626" s="620"/>
      <c r="K626" s="570"/>
      <c r="O626" s="1223"/>
      <c r="Q626" s="1222"/>
    </row>
    <row r="627" spans="2:17" x14ac:dyDescent="0.4">
      <c r="B627" s="130"/>
      <c r="C627" s="611">
        <v>230</v>
      </c>
      <c r="D627" s="656" t="e">
        <f t="shared" ca="1" si="87"/>
        <v>#N/A</v>
      </c>
      <c r="E627" s="620"/>
      <c r="F627" s="620"/>
      <c r="G627" s="620"/>
      <c r="H627" s="620"/>
      <c r="I627" s="620"/>
      <c r="J627" s="620"/>
      <c r="K627" s="570"/>
      <c r="O627" s="1223"/>
      <c r="Q627" s="1222"/>
    </row>
    <row r="628" spans="2:17" x14ac:dyDescent="0.4">
      <c r="B628" s="130"/>
      <c r="C628" s="611">
        <v>231</v>
      </c>
      <c r="D628" s="656" t="e">
        <f t="shared" ca="1" si="87"/>
        <v>#N/A</v>
      </c>
      <c r="E628" s="620"/>
      <c r="F628" s="620"/>
      <c r="G628" s="620"/>
      <c r="H628" s="620"/>
      <c r="I628" s="620"/>
      <c r="J628" s="620"/>
      <c r="K628" s="570"/>
      <c r="O628" s="1223"/>
      <c r="Q628" s="1222"/>
    </row>
    <row r="629" spans="2:17" x14ac:dyDescent="0.4">
      <c r="B629" s="130"/>
      <c r="C629" s="611">
        <v>232</v>
      </c>
      <c r="D629" s="656" t="e">
        <f t="shared" ca="1" si="87"/>
        <v>#N/A</v>
      </c>
      <c r="E629" s="620"/>
      <c r="F629" s="620"/>
      <c r="G629" s="620"/>
      <c r="H629" s="620"/>
      <c r="I629" s="620"/>
      <c r="J629" s="620"/>
      <c r="K629" s="570"/>
      <c r="O629" s="1223"/>
      <c r="Q629" s="1222"/>
    </row>
    <row r="630" spans="2:17" x14ac:dyDescent="0.4">
      <c r="B630" s="130"/>
      <c r="C630" s="611">
        <v>233</v>
      </c>
      <c r="D630" s="656" t="e">
        <f t="shared" ca="1" si="87"/>
        <v>#N/A</v>
      </c>
      <c r="E630" s="620"/>
      <c r="F630" s="620"/>
      <c r="G630" s="620"/>
      <c r="H630" s="620"/>
      <c r="I630" s="620"/>
      <c r="J630" s="620"/>
      <c r="K630" s="570"/>
      <c r="O630" s="1223"/>
      <c r="Q630" s="1222"/>
    </row>
    <row r="631" spans="2:17" x14ac:dyDescent="0.4">
      <c r="B631" s="130"/>
      <c r="C631" s="611">
        <v>234</v>
      </c>
      <c r="D631" s="656" t="e">
        <f t="shared" ca="1" si="87"/>
        <v>#N/A</v>
      </c>
      <c r="E631" s="620"/>
      <c r="F631" s="620"/>
      <c r="G631" s="620"/>
      <c r="H631" s="620"/>
      <c r="I631" s="620"/>
      <c r="J631" s="620"/>
      <c r="K631" s="570"/>
      <c r="O631" s="1223"/>
      <c r="Q631" s="1222"/>
    </row>
    <row r="632" spans="2:17" x14ac:dyDescent="0.4">
      <c r="B632" s="130"/>
      <c r="C632" s="611">
        <v>235</v>
      </c>
      <c r="D632" s="656" t="e">
        <f t="shared" ca="1" si="87"/>
        <v>#N/A</v>
      </c>
      <c r="E632" s="620"/>
      <c r="F632" s="620"/>
      <c r="G632" s="620"/>
      <c r="H632" s="620"/>
      <c r="I632" s="620"/>
      <c r="J632" s="620"/>
      <c r="K632" s="570"/>
      <c r="O632" s="1223"/>
      <c r="Q632" s="1222"/>
    </row>
    <row r="633" spans="2:17" x14ac:dyDescent="0.4">
      <c r="B633" s="130"/>
      <c r="C633" s="611">
        <v>236</v>
      </c>
      <c r="D633" s="656" t="e">
        <f t="shared" ca="1" si="87"/>
        <v>#N/A</v>
      </c>
      <c r="E633" s="620"/>
      <c r="F633" s="620"/>
      <c r="G633" s="620"/>
      <c r="H633" s="620"/>
      <c r="I633" s="620"/>
      <c r="J633" s="620"/>
      <c r="K633" s="570"/>
      <c r="O633" s="1223"/>
      <c r="Q633" s="1222"/>
    </row>
    <row r="634" spans="2:17" x14ac:dyDescent="0.4">
      <c r="B634" s="130"/>
      <c r="C634" s="611">
        <v>237</v>
      </c>
      <c r="D634" s="656" t="e">
        <f t="shared" ca="1" si="87"/>
        <v>#N/A</v>
      </c>
      <c r="E634" s="620"/>
      <c r="F634" s="620"/>
      <c r="G634" s="620"/>
      <c r="H634" s="620"/>
      <c r="I634" s="620"/>
      <c r="J634" s="620"/>
      <c r="K634" s="570"/>
      <c r="O634" s="1223"/>
      <c r="Q634" s="1222"/>
    </row>
    <row r="635" spans="2:17" x14ac:dyDescent="0.4">
      <c r="B635" s="130"/>
      <c r="C635" s="611">
        <v>238</v>
      </c>
      <c r="D635" s="656" t="e">
        <f t="shared" ca="1" si="87"/>
        <v>#N/A</v>
      </c>
      <c r="E635" s="620"/>
      <c r="F635" s="620"/>
      <c r="G635" s="620"/>
      <c r="H635" s="620"/>
      <c r="I635" s="620"/>
      <c r="J635" s="620"/>
      <c r="K635" s="570"/>
      <c r="O635" s="1223"/>
      <c r="Q635" s="1222"/>
    </row>
    <row r="636" spans="2:17" x14ac:dyDescent="0.4">
      <c r="B636" s="130"/>
      <c r="C636" s="611">
        <v>239</v>
      </c>
      <c r="D636" s="656" t="e">
        <f t="shared" ca="1" si="87"/>
        <v>#N/A</v>
      </c>
      <c r="E636" s="620"/>
      <c r="F636" s="620"/>
      <c r="G636" s="620"/>
      <c r="H636" s="620"/>
      <c r="I636" s="620"/>
      <c r="J636" s="620"/>
      <c r="K636" s="570"/>
      <c r="O636" s="1223"/>
      <c r="Q636" s="1222"/>
    </row>
    <row r="637" spans="2:17" x14ac:dyDescent="0.4">
      <c r="B637" s="130"/>
      <c r="C637" s="611">
        <v>240</v>
      </c>
      <c r="D637" s="656" t="e">
        <f t="shared" ca="1" si="87"/>
        <v>#N/A</v>
      </c>
      <c r="E637" s="620"/>
      <c r="F637" s="620"/>
      <c r="G637" s="620"/>
      <c r="H637" s="620"/>
      <c r="I637" s="620"/>
      <c r="J637" s="620"/>
      <c r="K637" s="570"/>
      <c r="O637" s="1223"/>
      <c r="Q637" s="1222"/>
    </row>
    <row r="638" spans="2:17" x14ac:dyDescent="0.4">
      <c r="B638" s="130"/>
      <c r="C638" s="611">
        <v>241</v>
      </c>
      <c r="D638" s="656" t="e">
        <f t="shared" ca="1" si="87"/>
        <v>#N/A</v>
      </c>
      <c r="E638" s="620"/>
      <c r="F638" s="620"/>
      <c r="G638" s="620"/>
      <c r="H638" s="620"/>
      <c r="I638" s="620"/>
      <c r="J638" s="620"/>
      <c r="K638" s="570"/>
      <c r="O638" s="1223"/>
      <c r="Q638" s="1222"/>
    </row>
    <row r="639" spans="2:17" x14ac:dyDescent="0.4">
      <c r="B639" s="130"/>
      <c r="C639" s="611">
        <v>242</v>
      </c>
      <c r="D639" s="656" t="e">
        <f t="shared" ca="1" si="87"/>
        <v>#N/A</v>
      </c>
      <c r="E639" s="620"/>
      <c r="F639" s="620"/>
      <c r="G639" s="620"/>
      <c r="H639" s="620"/>
      <c r="I639" s="620"/>
      <c r="J639" s="620"/>
      <c r="K639" s="570"/>
      <c r="O639" s="1223"/>
      <c r="Q639" s="1222"/>
    </row>
    <row r="640" spans="2:17" x14ac:dyDescent="0.4">
      <c r="B640" s="130"/>
      <c r="C640" s="611">
        <v>243</v>
      </c>
      <c r="D640" s="656" t="e">
        <f t="shared" ca="1" si="87"/>
        <v>#N/A</v>
      </c>
      <c r="E640" s="620"/>
      <c r="F640" s="620"/>
      <c r="G640" s="620"/>
      <c r="H640" s="620"/>
      <c r="I640" s="620"/>
      <c r="J640" s="620"/>
      <c r="K640" s="570"/>
      <c r="O640" s="1223"/>
      <c r="Q640" s="1222"/>
    </row>
    <row r="641" spans="2:17" x14ac:dyDescent="0.4">
      <c r="B641" s="130"/>
      <c r="C641" s="611">
        <v>244</v>
      </c>
      <c r="D641" s="656" t="e">
        <f t="shared" ca="1" si="87"/>
        <v>#N/A</v>
      </c>
      <c r="E641" s="620"/>
      <c r="F641" s="620"/>
      <c r="G641" s="620"/>
      <c r="H641" s="620"/>
      <c r="I641" s="620"/>
      <c r="J641" s="620"/>
      <c r="K641" s="570"/>
      <c r="O641" s="1223"/>
      <c r="Q641" s="1222"/>
    </row>
    <row r="642" spans="2:17" x14ac:dyDescent="0.4">
      <c r="B642" s="130"/>
      <c r="C642" s="611">
        <v>245</v>
      </c>
      <c r="D642" s="656" t="e">
        <f t="shared" ca="1" si="87"/>
        <v>#N/A</v>
      </c>
      <c r="E642" s="620"/>
      <c r="F642" s="620"/>
      <c r="G642" s="620"/>
      <c r="H642" s="620"/>
      <c r="I642" s="620"/>
      <c r="J642" s="620"/>
      <c r="K642" s="570"/>
      <c r="O642" s="1223"/>
      <c r="Q642" s="1222"/>
    </row>
    <row r="643" spans="2:17" x14ac:dyDescent="0.4">
      <c r="B643" s="130"/>
      <c r="C643" s="611">
        <v>246</v>
      </c>
      <c r="D643" s="656" t="e">
        <f t="shared" ca="1" si="87"/>
        <v>#N/A</v>
      </c>
      <c r="E643" s="620"/>
      <c r="F643" s="620"/>
      <c r="G643" s="620"/>
      <c r="H643" s="620"/>
      <c r="I643" s="620"/>
      <c r="J643" s="620"/>
      <c r="K643" s="570"/>
      <c r="O643" s="1223"/>
      <c r="Q643" s="1222"/>
    </row>
    <row r="644" spans="2:17" x14ac:dyDescent="0.4">
      <c r="B644" s="130"/>
      <c r="C644" s="611">
        <v>247</v>
      </c>
      <c r="D644" s="656" t="e">
        <f t="shared" ca="1" si="87"/>
        <v>#N/A</v>
      </c>
      <c r="E644" s="620"/>
      <c r="F644" s="620"/>
      <c r="G644" s="620"/>
      <c r="H644" s="620"/>
      <c r="I644" s="620"/>
      <c r="J644" s="620"/>
      <c r="K644" s="570"/>
      <c r="O644" s="1223"/>
      <c r="Q644" s="1222"/>
    </row>
    <row r="645" spans="2:17" x14ac:dyDescent="0.4">
      <c r="B645" s="130"/>
      <c r="C645" s="611">
        <v>248</v>
      </c>
      <c r="D645" s="656" t="e">
        <f t="shared" ca="1" si="87"/>
        <v>#N/A</v>
      </c>
      <c r="E645" s="620"/>
      <c r="F645" s="620"/>
      <c r="G645" s="620"/>
      <c r="H645" s="620"/>
      <c r="I645" s="620"/>
      <c r="J645" s="620"/>
      <c r="K645" s="570"/>
      <c r="O645" s="1223"/>
      <c r="Q645" s="1222"/>
    </row>
    <row r="646" spans="2:17" x14ac:dyDescent="0.4">
      <c r="B646" s="130"/>
      <c r="C646" s="611">
        <v>249</v>
      </c>
      <c r="D646" s="656" t="e">
        <f t="shared" ca="1" si="87"/>
        <v>#N/A</v>
      </c>
      <c r="E646" s="620"/>
      <c r="F646" s="620"/>
      <c r="G646" s="620"/>
      <c r="H646" s="620"/>
      <c r="I646" s="620"/>
      <c r="J646" s="620"/>
      <c r="K646" s="570"/>
      <c r="O646" s="1223"/>
      <c r="Q646" s="1222"/>
    </row>
    <row r="647" spans="2:17" x14ac:dyDescent="0.4">
      <c r="B647" s="130"/>
      <c r="C647" s="611">
        <v>250</v>
      </c>
      <c r="D647" s="656" t="e">
        <f t="shared" ca="1" si="87"/>
        <v>#N/A</v>
      </c>
      <c r="E647" s="620"/>
      <c r="F647" s="620"/>
      <c r="G647" s="620"/>
      <c r="H647" s="620"/>
      <c r="I647" s="620"/>
      <c r="J647" s="620"/>
      <c r="K647" s="570"/>
      <c r="O647" s="1223"/>
      <c r="Q647" s="1222"/>
    </row>
    <row r="648" spans="2:17" x14ac:dyDescent="0.4">
      <c r="B648" s="130"/>
      <c r="C648" s="611">
        <v>251</v>
      </c>
      <c r="D648" s="656" t="e">
        <f t="shared" ca="1" si="87"/>
        <v>#N/A</v>
      </c>
      <c r="E648" s="620"/>
      <c r="F648" s="620"/>
      <c r="G648" s="620"/>
      <c r="H648" s="620"/>
      <c r="I648" s="620"/>
      <c r="J648" s="620"/>
      <c r="K648" s="570"/>
      <c r="O648" s="1223"/>
      <c r="Q648" s="1222"/>
    </row>
    <row r="649" spans="2:17" x14ac:dyDescent="0.4">
      <c r="B649" s="130"/>
      <c r="C649" s="611">
        <v>252</v>
      </c>
      <c r="D649" s="656" t="e">
        <f t="shared" ca="1" si="87"/>
        <v>#N/A</v>
      </c>
      <c r="E649" s="620"/>
      <c r="F649" s="620"/>
      <c r="G649" s="620"/>
      <c r="H649" s="620"/>
      <c r="I649" s="620"/>
      <c r="J649" s="620"/>
      <c r="K649" s="570"/>
      <c r="O649" s="1223"/>
      <c r="Q649" s="1222"/>
    </row>
    <row r="650" spans="2:17" x14ac:dyDescent="0.4">
      <c r="B650" s="130"/>
      <c r="C650" s="611">
        <v>253</v>
      </c>
      <c r="D650" s="656" t="e">
        <f t="shared" ca="1" si="87"/>
        <v>#N/A</v>
      </c>
      <c r="E650" s="620"/>
      <c r="F650" s="620"/>
      <c r="G650" s="620"/>
      <c r="H650" s="620"/>
      <c r="I650" s="620"/>
      <c r="J650" s="620"/>
      <c r="K650" s="570"/>
      <c r="O650" s="1223"/>
      <c r="Q650" s="1222"/>
    </row>
    <row r="651" spans="2:17" x14ac:dyDescent="0.4">
      <c r="B651" s="130"/>
      <c r="C651" s="611">
        <v>254</v>
      </c>
      <c r="D651" s="656" t="e">
        <f t="shared" ca="1" si="87"/>
        <v>#N/A</v>
      </c>
      <c r="E651" s="620"/>
      <c r="F651" s="620"/>
      <c r="G651" s="620"/>
      <c r="H651" s="620"/>
      <c r="I651" s="620"/>
      <c r="J651" s="620"/>
      <c r="K651" s="570"/>
      <c r="O651" s="1223"/>
      <c r="Q651" s="1222"/>
    </row>
    <row r="652" spans="2:17" x14ac:dyDescent="0.4">
      <c r="B652" s="130"/>
      <c r="C652" s="611">
        <v>255</v>
      </c>
      <c r="D652" s="656" t="e">
        <f t="shared" ca="1" si="87"/>
        <v>#N/A</v>
      </c>
      <c r="E652" s="620"/>
      <c r="F652" s="620"/>
      <c r="G652" s="620"/>
      <c r="H652" s="620"/>
      <c r="I652" s="620"/>
      <c r="J652" s="620"/>
      <c r="K652" s="570"/>
      <c r="O652" s="1223"/>
      <c r="Q652" s="1222"/>
    </row>
    <row r="653" spans="2:17" x14ac:dyDescent="0.4">
      <c r="B653" s="130"/>
      <c r="C653" s="611">
        <v>256</v>
      </c>
      <c r="D653" s="656" t="e">
        <f t="shared" ref="D653:D716" ca="1" si="88">$C$376*C653</f>
        <v>#N/A</v>
      </c>
      <c r="E653" s="620"/>
      <c r="F653" s="620"/>
      <c r="G653" s="620"/>
      <c r="H653" s="620"/>
      <c r="I653" s="620"/>
      <c r="J653" s="620"/>
      <c r="K653" s="570"/>
      <c r="O653" s="1223"/>
      <c r="Q653" s="1222"/>
    </row>
    <row r="654" spans="2:17" x14ac:dyDescent="0.4">
      <c r="B654" s="130"/>
      <c r="C654" s="611">
        <v>257</v>
      </c>
      <c r="D654" s="656" t="e">
        <f t="shared" ca="1" si="88"/>
        <v>#N/A</v>
      </c>
      <c r="E654" s="620"/>
      <c r="F654" s="620"/>
      <c r="G654" s="620"/>
      <c r="H654" s="620"/>
      <c r="I654" s="620"/>
      <c r="J654" s="620"/>
      <c r="K654" s="570"/>
      <c r="O654" s="1223"/>
      <c r="Q654" s="1222"/>
    </row>
    <row r="655" spans="2:17" x14ac:dyDescent="0.4">
      <c r="B655" s="130"/>
      <c r="C655" s="611">
        <v>258</v>
      </c>
      <c r="D655" s="656" t="e">
        <f t="shared" ca="1" si="88"/>
        <v>#N/A</v>
      </c>
      <c r="E655" s="620"/>
      <c r="F655" s="620"/>
      <c r="G655" s="620"/>
      <c r="H655" s="620"/>
      <c r="I655" s="620"/>
      <c r="J655" s="620"/>
      <c r="K655" s="570"/>
      <c r="O655" s="1223"/>
      <c r="Q655" s="1222"/>
    </row>
    <row r="656" spans="2:17" x14ac:dyDescent="0.4">
      <c r="B656" s="130"/>
      <c r="C656" s="611">
        <v>259</v>
      </c>
      <c r="D656" s="656" t="e">
        <f t="shared" ca="1" si="88"/>
        <v>#N/A</v>
      </c>
      <c r="E656" s="620"/>
      <c r="F656" s="620"/>
      <c r="G656" s="620"/>
      <c r="H656" s="620"/>
      <c r="I656" s="620"/>
      <c r="J656" s="620"/>
      <c r="K656" s="570"/>
      <c r="O656" s="1223"/>
      <c r="Q656" s="1222"/>
    </row>
    <row r="657" spans="2:17" x14ac:dyDescent="0.4">
      <c r="B657" s="130"/>
      <c r="C657" s="611">
        <v>260</v>
      </c>
      <c r="D657" s="656" t="e">
        <f t="shared" ca="1" si="88"/>
        <v>#N/A</v>
      </c>
      <c r="E657" s="620"/>
      <c r="F657" s="620"/>
      <c r="G657" s="620"/>
      <c r="H657" s="620"/>
      <c r="I657" s="620"/>
      <c r="J657" s="620"/>
      <c r="K657" s="570"/>
      <c r="O657" s="1223"/>
      <c r="Q657" s="1222"/>
    </row>
    <row r="658" spans="2:17" x14ac:dyDescent="0.4">
      <c r="B658" s="130"/>
      <c r="C658" s="611">
        <v>261</v>
      </c>
      <c r="D658" s="656" t="e">
        <f t="shared" ca="1" si="88"/>
        <v>#N/A</v>
      </c>
      <c r="E658" s="620"/>
      <c r="F658" s="620"/>
      <c r="G658" s="620"/>
      <c r="H658" s="620"/>
      <c r="I658" s="620"/>
      <c r="J658" s="620"/>
      <c r="K658" s="570"/>
      <c r="O658" s="1223"/>
      <c r="Q658" s="1222"/>
    </row>
    <row r="659" spans="2:17" x14ac:dyDescent="0.4">
      <c r="B659" s="130"/>
      <c r="C659" s="611">
        <v>262</v>
      </c>
      <c r="D659" s="656" t="e">
        <f t="shared" ca="1" si="88"/>
        <v>#N/A</v>
      </c>
      <c r="E659" s="620"/>
      <c r="F659" s="620"/>
      <c r="G659" s="620"/>
      <c r="H659" s="620"/>
      <c r="I659" s="620"/>
      <c r="J659" s="620"/>
      <c r="K659" s="570"/>
      <c r="O659" s="1223"/>
      <c r="Q659" s="1222"/>
    </row>
    <row r="660" spans="2:17" x14ac:dyDescent="0.4">
      <c r="B660" s="130"/>
      <c r="C660" s="611">
        <v>263</v>
      </c>
      <c r="D660" s="656" t="e">
        <f t="shared" ca="1" si="88"/>
        <v>#N/A</v>
      </c>
      <c r="E660" s="620"/>
      <c r="F660" s="620"/>
      <c r="G660" s="620"/>
      <c r="H660" s="620"/>
      <c r="I660" s="620"/>
      <c r="J660" s="620"/>
      <c r="K660" s="570"/>
      <c r="O660" s="1223"/>
      <c r="Q660" s="1222"/>
    </row>
    <row r="661" spans="2:17" x14ac:dyDescent="0.4">
      <c r="B661" s="130"/>
      <c r="C661" s="611">
        <v>264</v>
      </c>
      <c r="D661" s="656" t="e">
        <f t="shared" ca="1" si="88"/>
        <v>#N/A</v>
      </c>
      <c r="E661" s="620"/>
      <c r="F661" s="620"/>
      <c r="G661" s="620"/>
      <c r="H661" s="620"/>
      <c r="I661" s="620"/>
      <c r="J661" s="620"/>
      <c r="K661" s="570"/>
      <c r="O661" s="1223"/>
      <c r="Q661" s="1222"/>
    </row>
    <row r="662" spans="2:17" x14ac:dyDescent="0.4">
      <c r="B662" s="130"/>
      <c r="C662" s="611">
        <v>265</v>
      </c>
      <c r="D662" s="656" t="e">
        <f t="shared" ca="1" si="88"/>
        <v>#N/A</v>
      </c>
      <c r="E662" s="620"/>
      <c r="F662" s="620"/>
      <c r="G662" s="620"/>
      <c r="H662" s="620"/>
      <c r="I662" s="620"/>
      <c r="J662" s="620"/>
      <c r="K662" s="570"/>
      <c r="O662" s="1223"/>
      <c r="Q662" s="1222"/>
    </row>
    <row r="663" spans="2:17" x14ac:dyDescent="0.4">
      <c r="B663" s="130"/>
      <c r="C663" s="611">
        <v>266</v>
      </c>
      <c r="D663" s="656" t="e">
        <f t="shared" ca="1" si="88"/>
        <v>#N/A</v>
      </c>
      <c r="E663" s="620"/>
      <c r="F663" s="620"/>
      <c r="G663" s="620"/>
      <c r="H663" s="620"/>
      <c r="I663" s="620"/>
      <c r="J663" s="620"/>
      <c r="K663" s="570"/>
      <c r="O663" s="1223"/>
      <c r="Q663" s="1222"/>
    </row>
    <row r="664" spans="2:17" x14ac:dyDescent="0.4">
      <c r="B664" s="130"/>
      <c r="C664" s="611">
        <v>267</v>
      </c>
      <c r="D664" s="656" t="e">
        <f t="shared" ca="1" si="88"/>
        <v>#N/A</v>
      </c>
      <c r="E664" s="620"/>
      <c r="F664" s="620"/>
      <c r="G664" s="620"/>
      <c r="H664" s="620"/>
      <c r="I664" s="620"/>
      <c r="J664" s="620"/>
      <c r="K664" s="570"/>
      <c r="O664" s="1223"/>
      <c r="Q664" s="1222"/>
    </row>
    <row r="665" spans="2:17" x14ac:dyDescent="0.4">
      <c r="B665" s="130"/>
      <c r="C665" s="611">
        <v>268</v>
      </c>
      <c r="D665" s="656" t="e">
        <f t="shared" ca="1" si="88"/>
        <v>#N/A</v>
      </c>
      <c r="E665" s="620"/>
      <c r="F665" s="620"/>
      <c r="G665" s="620"/>
      <c r="H665" s="620"/>
      <c r="I665" s="620"/>
      <c r="J665" s="620"/>
      <c r="K665" s="570"/>
      <c r="O665" s="1223"/>
      <c r="Q665" s="1222"/>
    </row>
    <row r="666" spans="2:17" x14ac:dyDescent="0.4">
      <c r="B666" s="130"/>
      <c r="C666" s="611">
        <v>269</v>
      </c>
      <c r="D666" s="656" t="e">
        <f t="shared" ca="1" si="88"/>
        <v>#N/A</v>
      </c>
      <c r="E666" s="620"/>
      <c r="F666" s="620"/>
      <c r="G666" s="620"/>
      <c r="H666" s="620"/>
      <c r="I666" s="620"/>
      <c r="J666" s="620"/>
      <c r="K666" s="570"/>
      <c r="O666" s="1223"/>
      <c r="Q666" s="1222"/>
    </row>
    <row r="667" spans="2:17" x14ac:dyDescent="0.4">
      <c r="B667" s="130"/>
      <c r="C667" s="611">
        <v>270</v>
      </c>
      <c r="D667" s="656" t="e">
        <f t="shared" ca="1" si="88"/>
        <v>#N/A</v>
      </c>
      <c r="E667" s="620"/>
      <c r="F667" s="620"/>
      <c r="G667" s="620"/>
      <c r="H667" s="620"/>
      <c r="I667" s="620"/>
      <c r="J667" s="620"/>
      <c r="K667" s="570"/>
      <c r="O667" s="1223"/>
      <c r="Q667" s="1222"/>
    </row>
    <row r="668" spans="2:17" x14ac:dyDescent="0.4">
      <c r="B668" s="130"/>
      <c r="C668" s="611">
        <v>271</v>
      </c>
      <c r="D668" s="656" t="e">
        <f t="shared" ca="1" si="88"/>
        <v>#N/A</v>
      </c>
      <c r="E668" s="620"/>
      <c r="F668" s="620"/>
      <c r="G668" s="620"/>
      <c r="H668" s="620"/>
      <c r="I668" s="620"/>
      <c r="J668" s="620"/>
      <c r="K668" s="570"/>
      <c r="O668" s="1223"/>
      <c r="Q668" s="1222"/>
    </row>
    <row r="669" spans="2:17" x14ac:dyDescent="0.4">
      <c r="B669" s="130"/>
      <c r="C669" s="611">
        <v>272</v>
      </c>
      <c r="D669" s="656" t="e">
        <f t="shared" ca="1" si="88"/>
        <v>#N/A</v>
      </c>
      <c r="E669" s="620"/>
      <c r="F669" s="620"/>
      <c r="G669" s="620"/>
      <c r="H669" s="620"/>
      <c r="I669" s="620"/>
      <c r="J669" s="620"/>
      <c r="K669" s="570"/>
      <c r="O669" s="1223"/>
      <c r="Q669" s="1222"/>
    </row>
    <row r="670" spans="2:17" x14ac:dyDescent="0.4">
      <c r="B670" s="130"/>
      <c r="C670" s="611">
        <v>273</v>
      </c>
      <c r="D670" s="656" t="e">
        <f t="shared" ca="1" si="88"/>
        <v>#N/A</v>
      </c>
      <c r="E670" s="620"/>
      <c r="F670" s="620"/>
      <c r="G670" s="620"/>
      <c r="H670" s="620"/>
      <c r="I670" s="620"/>
      <c r="J670" s="620"/>
      <c r="K670" s="570"/>
      <c r="O670" s="1223"/>
      <c r="Q670" s="1222"/>
    </row>
    <row r="671" spans="2:17" x14ac:dyDescent="0.4">
      <c r="B671" s="130"/>
      <c r="C671" s="611">
        <v>274</v>
      </c>
      <c r="D671" s="656" t="e">
        <f t="shared" ca="1" si="88"/>
        <v>#N/A</v>
      </c>
      <c r="E671" s="620"/>
      <c r="F671" s="620"/>
      <c r="G671" s="620"/>
      <c r="H671" s="620"/>
      <c r="I671" s="620"/>
      <c r="J671" s="620"/>
      <c r="K671" s="570"/>
      <c r="O671" s="1223"/>
      <c r="Q671" s="1222"/>
    </row>
    <row r="672" spans="2:17" x14ac:dyDescent="0.4">
      <c r="B672" s="130"/>
      <c r="C672" s="611">
        <v>275</v>
      </c>
      <c r="D672" s="656" t="e">
        <f t="shared" ca="1" si="88"/>
        <v>#N/A</v>
      </c>
      <c r="E672" s="620"/>
      <c r="F672" s="620"/>
      <c r="G672" s="620"/>
      <c r="H672" s="620"/>
      <c r="I672" s="620"/>
      <c r="J672" s="620"/>
      <c r="K672" s="570"/>
      <c r="O672" s="1223"/>
      <c r="Q672" s="1222"/>
    </row>
    <row r="673" spans="2:17" x14ac:dyDescent="0.4">
      <c r="B673" s="130"/>
      <c r="C673" s="611">
        <v>276</v>
      </c>
      <c r="D673" s="656" t="e">
        <f t="shared" ca="1" si="88"/>
        <v>#N/A</v>
      </c>
      <c r="E673" s="620"/>
      <c r="F673" s="620"/>
      <c r="G673" s="620"/>
      <c r="H673" s="620"/>
      <c r="I673" s="620"/>
      <c r="J673" s="620"/>
      <c r="K673" s="570"/>
      <c r="O673" s="1223"/>
      <c r="Q673" s="1222"/>
    </row>
    <row r="674" spans="2:17" x14ac:dyDescent="0.4">
      <c r="B674" s="130"/>
      <c r="C674" s="611">
        <v>277</v>
      </c>
      <c r="D674" s="656" t="e">
        <f t="shared" ca="1" si="88"/>
        <v>#N/A</v>
      </c>
      <c r="E674" s="620"/>
      <c r="F674" s="620"/>
      <c r="G674" s="620"/>
      <c r="H674" s="620"/>
      <c r="I674" s="620"/>
      <c r="J674" s="620"/>
      <c r="K674" s="570"/>
      <c r="O674" s="1223"/>
      <c r="Q674" s="1222"/>
    </row>
    <row r="675" spans="2:17" x14ac:dyDescent="0.4">
      <c r="B675" s="130"/>
      <c r="C675" s="611">
        <v>278</v>
      </c>
      <c r="D675" s="656" t="e">
        <f t="shared" ca="1" si="88"/>
        <v>#N/A</v>
      </c>
      <c r="E675" s="620"/>
      <c r="F675" s="620"/>
      <c r="G675" s="620"/>
      <c r="H675" s="620"/>
      <c r="I675" s="620"/>
      <c r="J675" s="620"/>
      <c r="K675" s="570"/>
      <c r="O675" s="1223"/>
      <c r="Q675" s="1222"/>
    </row>
    <row r="676" spans="2:17" x14ac:dyDescent="0.4">
      <c r="B676" s="130"/>
      <c r="C676" s="611">
        <v>279</v>
      </c>
      <c r="D676" s="656" t="e">
        <f t="shared" ca="1" si="88"/>
        <v>#N/A</v>
      </c>
      <c r="E676" s="620"/>
      <c r="F676" s="620"/>
      <c r="G676" s="620"/>
      <c r="H676" s="620"/>
      <c r="I676" s="620"/>
      <c r="J676" s="620"/>
      <c r="K676" s="570"/>
      <c r="O676" s="1223"/>
      <c r="Q676" s="1222"/>
    </row>
    <row r="677" spans="2:17" x14ac:dyDescent="0.4">
      <c r="B677" s="130"/>
      <c r="C677" s="611">
        <v>280</v>
      </c>
      <c r="D677" s="656" t="e">
        <f t="shared" ca="1" si="88"/>
        <v>#N/A</v>
      </c>
      <c r="E677" s="620"/>
      <c r="F677" s="620"/>
      <c r="G677" s="620"/>
      <c r="H677" s="620"/>
      <c r="I677" s="620"/>
      <c r="J677" s="620"/>
      <c r="K677" s="570"/>
      <c r="O677" s="1223"/>
      <c r="Q677" s="1222"/>
    </row>
    <row r="678" spans="2:17" x14ac:dyDescent="0.4">
      <c r="B678" s="130"/>
      <c r="C678" s="611">
        <v>281</v>
      </c>
      <c r="D678" s="656" t="e">
        <f t="shared" ca="1" si="88"/>
        <v>#N/A</v>
      </c>
      <c r="E678" s="620"/>
      <c r="F678" s="620"/>
      <c r="G678" s="620"/>
      <c r="H678" s="620"/>
      <c r="I678" s="620"/>
      <c r="J678" s="620"/>
      <c r="K678" s="570"/>
      <c r="O678" s="1223"/>
      <c r="Q678" s="1222"/>
    </row>
    <row r="679" spans="2:17" x14ac:dyDescent="0.4">
      <c r="B679" s="130"/>
      <c r="C679" s="611">
        <v>282</v>
      </c>
      <c r="D679" s="656" t="e">
        <f t="shared" ca="1" si="88"/>
        <v>#N/A</v>
      </c>
      <c r="E679" s="620"/>
      <c r="F679" s="620"/>
      <c r="G679" s="620"/>
      <c r="H679" s="620"/>
      <c r="I679" s="620"/>
      <c r="J679" s="620"/>
      <c r="K679" s="570"/>
      <c r="O679" s="1223"/>
      <c r="Q679" s="1222"/>
    </row>
    <row r="680" spans="2:17" x14ac:dyDescent="0.4">
      <c r="B680" s="130"/>
      <c r="C680" s="611">
        <v>283</v>
      </c>
      <c r="D680" s="656" t="e">
        <f t="shared" ca="1" si="88"/>
        <v>#N/A</v>
      </c>
      <c r="E680" s="620"/>
      <c r="F680" s="620"/>
      <c r="G680" s="620"/>
      <c r="H680" s="620"/>
      <c r="I680" s="620"/>
      <c r="J680" s="620"/>
      <c r="K680" s="570"/>
      <c r="O680" s="1223"/>
      <c r="Q680" s="1222"/>
    </row>
    <row r="681" spans="2:17" x14ac:dyDescent="0.4">
      <c r="B681" s="130"/>
      <c r="C681" s="611">
        <v>284</v>
      </c>
      <c r="D681" s="656" t="e">
        <f t="shared" ca="1" si="88"/>
        <v>#N/A</v>
      </c>
      <c r="E681" s="620"/>
      <c r="F681" s="620"/>
      <c r="G681" s="620"/>
      <c r="H681" s="620"/>
      <c r="I681" s="620"/>
      <c r="J681" s="620"/>
      <c r="K681" s="570"/>
      <c r="O681" s="1223"/>
      <c r="Q681" s="1222"/>
    </row>
    <row r="682" spans="2:17" x14ac:dyDescent="0.4">
      <c r="B682" s="130"/>
      <c r="C682" s="611">
        <v>285</v>
      </c>
      <c r="D682" s="656" t="e">
        <f t="shared" ca="1" si="88"/>
        <v>#N/A</v>
      </c>
      <c r="E682" s="620"/>
      <c r="F682" s="620"/>
      <c r="G682" s="620"/>
      <c r="H682" s="620"/>
      <c r="I682" s="620"/>
      <c r="J682" s="620"/>
      <c r="K682" s="570"/>
      <c r="O682" s="1223"/>
      <c r="Q682" s="1222"/>
    </row>
    <row r="683" spans="2:17" x14ac:dyDescent="0.4">
      <c r="B683" s="130"/>
      <c r="C683" s="611">
        <v>286</v>
      </c>
      <c r="D683" s="656" t="e">
        <f t="shared" ca="1" si="88"/>
        <v>#N/A</v>
      </c>
      <c r="E683" s="620"/>
      <c r="F683" s="620"/>
      <c r="G683" s="620"/>
      <c r="H683" s="620"/>
      <c r="I683" s="620"/>
      <c r="J683" s="620"/>
      <c r="K683" s="570"/>
      <c r="O683" s="1223"/>
      <c r="Q683" s="1222"/>
    </row>
    <row r="684" spans="2:17" x14ac:dyDescent="0.4">
      <c r="B684" s="130"/>
      <c r="C684" s="611">
        <v>287</v>
      </c>
      <c r="D684" s="656" t="e">
        <f t="shared" ca="1" si="88"/>
        <v>#N/A</v>
      </c>
      <c r="E684" s="620"/>
      <c r="F684" s="620"/>
      <c r="G684" s="620"/>
      <c r="H684" s="620"/>
      <c r="I684" s="620"/>
      <c r="J684" s="620"/>
      <c r="K684" s="570"/>
      <c r="O684" s="1223"/>
      <c r="Q684" s="1222"/>
    </row>
    <row r="685" spans="2:17" x14ac:dyDescent="0.4">
      <c r="B685" s="130"/>
      <c r="C685" s="611">
        <v>288</v>
      </c>
      <c r="D685" s="656" t="e">
        <f t="shared" ca="1" si="88"/>
        <v>#N/A</v>
      </c>
      <c r="E685" s="620"/>
      <c r="F685" s="620"/>
      <c r="G685" s="620"/>
      <c r="H685" s="620"/>
      <c r="I685" s="620"/>
      <c r="J685" s="620"/>
      <c r="K685" s="570"/>
      <c r="O685" s="1223"/>
      <c r="Q685" s="1222"/>
    </row>
    <row r="686" spans="2:17" x14ac:dyDescent="0.4">
      <c r="B686" s="130"/>
      <c r="C686" s="611">
        <v>289</v>
      </c>
      <c r="D686" s="656" t="e">
        <f t="shared" ca="1" si="88"/>
        <v>#N/A</v>
      </c>
      <c r="E686" s="620"/>
      <c r="F686" s="620"/>
      <c r="G686" s="620"/>
      <c r="H686" s="620"/>
      <c r="I686" s="620"/>
      <c r="J686" s="620"/>
      <c r="K686" s="570"/>
      <c r="O686" s="1223"/>
      <c r="Q686" s="1222"/>
    </row>
    <row r="687" spans="2:17" x14ac:dyDescent="0.4">
      <c r="B687" s="130"/>
      <c r="C687" s="611">
        <v>290</v>
      </c>
      <c r="D687" s="656" t="e">
        <f t="shared" ca="1" si="88"/>
        <v>#N/A</v>
      </c>
      <c r="E687" s="620"/>
      <c r="F687" s="620"/>
      <c r="G687" s="620"/>
      <c r="H687" s="620"/>
      <c r="I687" s="620"/>
      <c r="J687" s="620"/>
      <c r="K687" s="570"/>
      <c r="O687" s="1223"/>
      <c r="Q687" s="1222"/>
    </row>
    <row r="688" spans="2:17" x14ac:dyDescent="0.4">
      <c r="B688" s="130"/>
      <c r="C688" s="611">
        <v>291</v>
      </c>
      <c r="D688" s="656" t="e">
        <f t="shared" ca="1" si="88"/>
        <v>#N/A</v>
      </c>
      <c r="E688" s="620"/>
      <c r="F688" s="620"/>
      <c r="G688" s="620"/>
      <c r="H688" s="620"/>
      <c r="I688" s="620"/>
      <c r="J688" s="620"/>
      <c r="K688" s="570"/>
      <c r="O688" s="1223"/>
      <c r="Q688" s="1222"/>
    </row>
    <row r="689" spans="2:17" x14ac:dyDescent="0.4">
      <c r="B689" s="130"/>
      <c r="C689" s="611">
        <v>292</v>
      </c>
      <c r="D689" s="656" t="e">
        <f t="shared" ca="1" si="88"/>
        <v>#N/A</v>
      </c>
      <c r="E689" s="620"/>
      <c r="F689" s="620"/>
      <c r="G689" s="620"/>
      <c r="H689" s="620"/>
      <c r="I689" s="620"/>
      <c r="J689" s="620"/>
      <c r="K689" s="570"/>
      <c r="O689" s="1223"/>
      <c r="Q689" s="1222"/>
    </row>
    <row r="690" spans="2:17" x14ac:dyDescent="0.4">
      <c r="B690" s="130"/>
      <c r="C690" s="611">
        <v>293</v>
      </c>
      <c r="D690" s="656" t="e">
        <f t="shared" ca="1" si="88"/>
        <v>#N/A</v>
      </c>
      <c r="E690" s="620"/>
      <c r="F690" s="620"/>
      <c r="G690" s="620"/>
      <c r="H690" s="620"/>
      <c r="I690" s="620"/>
      <c r="J690" s="620"/>
      <c r="K690" s="570"/>
      <c r="O690" s="1223"/>
      <c r="Q690" s="1222"/>
    </row>
    <row r="691" spans="2:17" x14ac:dyDescent="0.4">
      <c r="B691" s="130"/>
      <c r="C691" s="611">
        <v>294</v>
      </c>
      <c r="D691" s="656" t="e">
        <f t="shared" ca="1" si="88"/>
        <v>#N/A</v>
      </c>
      <c r="E691" s="620"/>
      <c r="F691" s="620"/>
      <c r="G691" s="620"/>
      <c r="H691" s="620"/>
      <c r="I691" s="620"/>
      <c r="J691" s="620"/>
      <c r="K691" s="570"/>
      <c r="O691" s="1223"/>
      <c r="Q691" s="1222"/>
    </row>
    <row r="692" spans="2:17" x14ac:dyDescent="0.4">
      <c r="B692" s="130"/>
      <c r="C692" s="611">
        <v>295</v>
      </c>
      <c r="D692" s="656" t="e">
        <f t="shared" ca="1" si="88"/>
        <v>#N/A</v>
      </c>
      <c r="E692" s="620"/>
      <c r="F692" s="620"/>
      <c r="G692" s="620"/>
      <c r="H692" s="620"/>
      <c r="I692" s="620"/>
      <c r="J692" s="620"/>
      <c r="K692" s="570"/>
      <c r="O692" s="1223"/>
      <c r="Q692" s="1222"/>
    </row>
    <row r="693" spans="2:17" x14ac:dyDescent="0.4">
      <c r="B693" s="130"/>
      <c r="C693" s="611">
        <v>296</v>
      </c>
      <c r="D693" s="656" t="e">
        <f t="shared" ca="1" si="88"/>
        <v>#N/A</v>
      </c>
      <c r="E693" s="620"/>
      <c r="F693" s="620"/>
      <c r="G693" s="620"/>
      <c r="H693" s="620"/>
      <c r="I693" s="620"/>
      <c r="J693" s="620"/>
      <c r="K693" s="570"/>
      <c r="O693" s="1223"/>
      <c r="Q693" s="1222"/>
    </row>
    <row r="694" spans="2:17" x14ac:dyDescent="0.4">
      <c r="B694" s="130"/>
      <c r="C694" s="611">
        <v>297</v>
      </c>
      <c r="D694" s="656" t="e">
        <f t="shared" ca="1" si="88"/>
        <v>#N/A</v>
      </c>
      <c r="E694" s="620"/>
      <c r="F694" s="620"/>
      <c r="G694" s="620"/>
      <c r="H694" s="620"/>
      <c r="I694" s="620"/>
      <c r="J694" s="620"/>
      <c r="K694" s="570"/>
      <c r="O694" s="1223"/>
      <c r="Q694" s="1222"/>
    </row>
    <row r="695" spans="2:17" x14ac:dyDescent="0.4">
      <c r="B695" s="130"/>
      <c r="C695" s="611">
        <v>298</v>
      </c>
      <c r="D695" s="656" t="e">
        <f t="shared" ca="1" si="88"/>
        <v>#N/A</v>
      </c>
      <c r="E695" s="620"/>
      <c r="F695" s="620"/>
      <c r="G695" s="620"/>
      <c r="H695" s="620"/>
      <c r="I695" s="620"/>
      <c r="J695" s="620"/>
      <c r="K695" s="570"/>
      <c r="O695" s="1223"/>
      <c r="Q695" s="1222"/>
    </row>
    <row r="696" spans="2:17" x14ac:dyDescent="0.4">
      <c r="B696" s="130"/>
      <c r="C696" s="611">
        <v>299</v>
      </c>
      <c r="D696" s="656" t="e">
        <f t="shared" ca="1" si="88"/>
        <v>#N/A</v>
      </c>
      <c r="E696" s="620"/>
      <c r="F696" s="620"/>
      <c r="G696" s="620"/>
      <c r="H696" s="620"/>
      <c r="I696" s="620"/>
      <c r="J696" s="620"/>
      <c r="K696" s="570"/>
      <c r="O696" s="1223"/>
      <c r="Q696" s="1222"/>
    </row>
    <row r="697" spans="2:17" x14ac:dyDescent="0.4">
      <c r="B697" s="130"/>
      <c r="C697" s="611">
        <v>300</v>
      </c>
      <c r="D697" s="656" t="e">
        <f t="shared" ca="1" si="88"/>
        <v>#N/A</v>
      </c>
      <c r="E697" s="620"/>
      <c r="F697" s="620"/>
      <c r="G697" s="620"/>
      <c r="H697" s="620"/>
      <c r="I697" s="620"/>
      <c r="J697" s="620"/>
      <c r="K697" s="570"/>
      <c r="O697" s="1223"/>
      <c r="Q697" s="1222"/>
    </row>
    <row r="698" spans="2:17" x14ac:dyDescent="0.4">
      <c r="B698" s="130"/>
      <c r="C698" s="611">
        <v>301</v>
      </c>
      <c r="D698" s="656" t="e">
        <f t="shared" ca="1" si="88"/>
        <v>#N/A</v>
      </c>
      <c r="E698" s="620"/>
      <c r="F698" s="620"/>
      <c r="G698" s="620"/>
      <c r="H698" s="620"/>
      <c r="I698" s="620"/>
      <c r="J698" s="620"/>
      <c r="K698" s="570"/>
      <c r="O698" s="1223"/>
      <c r="Q698" s="1222"/>
    </row>
    <row r="699" spans="2:17" x14ac:dyDescent="0.4">
      <c r="B699" s="130"/>
      <c r="C699" s="611">
        <v>302</v>
      </c>
      <c r="D699" s="656" t="e">
        <f t="shared" ca="1" si="88"/>
        <v>#N/A</v>
      </c>
      <c r="E699" s="620"/>
      <c r="F699" s="620"/>
      <c r="G699" s="620"/>
      <c r="H699" s="620"/>
      <c r="I699" s="620"/>
      <c r="J699" s="620"/>
      <c r="K699" s="570"/>
      <c r="O699" s="1223"/>
      <c r="Q699" s="1222"/>
    </row>
    <row r="700" spans="2:17" x14ac:dyDescent="0.4">
      <c r="B700" s="130"/>
      <c r="C700" s="611">
        <v>303</v>
      </c>
      <c r="D700" s="656" t="e">
        <f t="shared" ca="1" si="88"/>
        <v>#N/A</v>
      </c>
      <c r="E700" s="620"/>
      <c r="F700" s="620"/>
      <c r="G700" s="620"/>
      <c r="H700" s="620"/>
      <c r="I700" s="620"/>
      <c r="J700" s="620"/>
      <c r="K700" s="570"/>
      <c r="O700" s="1223"/>
      <c r="Q700" s="1222"/>
    </row>
    <row r="701" spans="2:17" x14ac:dyDescent="0.4">
      <c r="B701" s="130"/>
      <c r="C701" s="611">
        <v>304</v>
      </c>
      <c r="D701" s="656" t="e">
        <f t="shared" ca="1" si="88"/>
        <v>#N/A</v>
      </c>
      <c r="E701" s="620"/>
      <c r="F701" s="620"/>
      <c r="G701" s="620"/>
      <c r="H701" s="620"/>
      <c r="I701" s="620"/>
      <c r="J701" s="620"/>
      <c r="K701" s="570"/>
      <c r="O701" s="1223"/>
      <c r="Q701" s="1222"/>
    </row>
    <row r="702" spans="2:17" x14ac:dyDescent="0.4">
      <c r="B702" s="130"/>
      <c r="C702" s="611">
        <v>305</v>
      </c>
      <c r="D702" s="656" t="e">
        <f t="shared" ca="1" si="88"/>
        <v>#N/A</v>
      </c>
      <c r="E702" s="620"/>
      <c r="F702" s="620"/>
      <c r="G702" s="620"/>
      <c r="H702" s="620"/>
      <c r="I702" s="620"/>
      <c r="J702" s="620"/>
      <c r="K702" s="570"/>
      <c r="O702" s="1223"/>
      <c r="Q702" s="1222"/>
    </row>
    <row r="703" spans="2:17" x14ac:dyDescent="0.4">
      <c r="B703" s="130"/>
      <c r="C703" s="611">
        <v>306</v>
      </c>
      <c r="D703" s="656" t="e">
        <f t="shared" ca="1" si="88"/>
        <v>#N/A</v>
      </c>
      <c r="E703" s="620"/>
      <c r="F703" s="620"/>
      <c r="G703" s="620"/>
      <c r="H703" s="620"/>
      <c r="I703" s="620"/>
      <c r="J703" s="620"/>
      <c r="K703" s="570"/>
      <c r="O703" s="1223"/>
      <c r="Q703" s="1222"/>
    </row>
    <row r="704" spans="2:17" x14ac:dyDescent="0.4">
      <c r="B704" s="130"/>
      <c r="C704" s="611">
        <v>307</v>
      </c>
      <c r="D704" s="656" t="e">
        <f t="shared" ca="1" si="88"/>
        <v>#N/A</v>
      </c>
      <c r="E704" s="620"/>
      <c r="F704" s="620"/>
      <c r="G704" s="620"/>
      <c r="H704" s="620"/>
      <c r="I704" s="620"/>
      <c r="J704" s="620"/>
      <c r="K704" s="570"/>
      <c r="O704" s="1223"/>
      <c r="Q704" s="1222"/>
    </row>
    <row r="705" spans="2:17" x14ac:dyDescent="0.4">
      <c r="B705" s="130"/>
      <c r="C705" s="611">
        <v>308</v>
      </c>
      <c r="D705" s="656" t="e">
        <f t="shared" ca="1" si="88"/>
        <v>#N/A</v>
      </c>
      <c r="E705" s="620"/>
      <c r="F705" s="620"/>
      <c r="G705" s="620"/>
      <c r="H705" s="620"/>
      <c r="I705" s="620"/>
      <c r="J705" s="620"/>
      <c r="K705" s="570"/>
      <c r="O705" s="1223"/>
      <c r="Q705" s="1222"/>
    </row>
    <row r="706" spans="2:17" x14ac:dyDescent="0.4">
      <c r="B706" s="130"/>
      <c r="C706" s="611">
        <v>309</v>
      </c>
      <c r="D706" s="656" t="e">
        <f t="shared" ca="1" si="88"/>
        <v>#N/A</v>
      </c>
      <c r="E706" s="620"/>
      <c r="F706" s="620"/>
      <c r="G706" s="620"/>
      <c r="H706" s="620"/>
      <c r="I706" s="620"/>
      <c r="J706" s="620"/>
      <c r="K706" s="570"/>
      <c r="O706" s="1223"/>
      <c r="Q706" s="1222"/>
    </row>
    <row r="707" spans="2:17" x14ac:dyDescent="0.4">
      <c r="B707" s="130"/>
      <c r="C707" s="611">
        <v>310</v>
      </c>
      <c r="D707" s="656" t="e">
        <f t="shared" ca="1" si="88"/>
        <v>#N/A</v>
      </c>
      <c r="E707" s="620"/>
      <c r="F707" s="620"/>
      <c r="G707" s="620"/>
      <c r="H707" s="620"/>
      <c r="I707" s="620"/>
      <c r="J707" s="620"/>
      <c r="K707" s="570"/>
      <c r="O707" s="1223"/>
      <c r="Q707" s="1222"/>
    </row>
    <row r="708" spans="2:17" x14ac:dyDescent="0.4">
      <c r="B708" s="130"/>
      <c r="C708" s="611">
        <v>311</v>
      </c>
      <c r="D708" s="656" t="e">
        <f t="shared" ca="1" si="88"/>
        <v>#N/A</v>
      </c>
      <c r="E708" s="620"/>
      <c r="F708" s="620"/>
      <c r="G708" s="620"/>
      <c r="H708" s="620"/>
      <c r="I708" s="620"/>
      <c r="J708" s="620"/>
      <c r="K708" s="570"/>
      <c r="O708" s="1223"/>
      <c r="Q708" s="1222"/>
    </row>
    <row r="709" spans="2:17" x14ac:dyDescent="0.4">
      <c r="B709" s="130"/>
      <c r="C709" s="611">
        <v>312</v>
      </c>
      <c r="D709" s="656" t="e">
        <f t="shared" ca="1" si="88"/>
        <v>#N/A</v>
      </c>
      <c r="E709" s="620"/>
      <c r="F709" s="620"/>
      <c r="G709" s="620"/>
      <c r="H709" s="620"/>
      <c r="I709" s="620"/>
      <c r="J709" s="620"/>
      <c r="K709" s="570"/>
      <c r="O709" s="1223"/>
      <c r="Q709" s="1222"/>
    </row>
    <row r="710" spans="2:17" x14ac:dyDescent="0.4">
      <c r="B710" s="130"/>
      <c r="C710" s="611">
        <v>313</v>
      </c>
      <c r="D710" s="656" t="e">
        <f t="shared" ca="1" si="88"/>
        <v>#N/A</v>
      </c>
      <c r="E710" s="620"/>
      <c r="F710" s="620"/>
      <c r="G710" s="620"/>
      <c r="H710" s="620"/>
      <c r="I710" s="620"/>
      <c r="J710" s="620"/>
      <c r="K710" s="570"/>
      <c r="O710" s="1223"/>
      <c r="Q710" s="1222"/>
    </row>
    <row r="711" spans="2:17" x14ac:dyDescent="0.4">
      <c r="B711" s="130"/>
      <c r="C711" s="611">
        <v>314</v>
      </c>
      <c r="D711" s="656" t="e">
        <f t="shared" ca="1" si="88"/>
        <v>#N/A</v>
      </c>
      <c r="E711" s="620"/>
      <c r="F711" s="620"/>
      <c r="G711" s="620"/>
      <c r="H711" s="620"/>
      <c r="I711" s="620"/>
      <c r="J711" s="620"/>
      <c r="K711" s="570"/>
      <c r="O711" s="1223"/>
      <c r="Q711" s="1222"/>
    </row>
    <row r="712" spans="2:17" x14ac:dyDescent="0.4">
      <c r="B712" s="130"/>
      <c r="C712" s="611">
        <v>315</v>
      </c>
      <c r="D712" s="656" t="e">
        <f t="shared" ca="1" si="88"/>
        <v>#N/A</v>
      </c>
      <c r="E712" s="620"/>
      <c r="F712" s="620"/>
      <c r="G712" s="620"/>
      <c r="H712" s="620"/>
      <c r="I712" s="620"/>
      <c r="J712" s="620"/>
      <c r="K712" s="570"/>
      <c r="O712" s="1223"/>
      <c r="Q712" s="1222"/>
    </row>
    <row r="713" spans="2:17" x14ac:dyDescent="0.4">
      <c r="B713" s="130"/>
      <c r="C713" s="611">
        <v>316</v>
      </c>
      <c r="D713" s="656" t="e">
        <f t="shared" ca="1" si="88"/>
        <v>#N/A</v>
      </c>
      <c r="E713" s="620"/>
      <c r="F713" s="620"/>
      <c r="G713" s="620"/>
      <c r="H713" s="620"/>
      <c r="I713" s="620"/>
      <c r="J713" s="620"/>
      <c r="K713" s="570"/>
      <c r="O713" s="1223"/>
      <c r="Q713" s="1222"/>
    </row>
    <row r="714" spans="2:17" x14ac:dyDescent="0.4">
      <c r="B714" s="130"/>
      <c r="C714" s="611">
        <v>317</v>
      </c>
      <c r="D714" s="656" t="e">
        <f t="shared" ca="1" si="88"/>
        <v>#N/A</v>
      </c>
      <c r="E714" s="620"/>
      <c r="F714" s="620"/>
      <c r="G714" s="620"/>
      <c r="H714" s="620"/>
      <c r="I714" s="620"/>
      <c r="J714" s="620"/>
      <c r="K714" s="570"/>
      <c r="O714" s="1223"/>
      <c r="Q714" s="1222"/>
    </row>
    <row r="715" spans="2:17" x14ac:dyDescent="0.4">
      <c r="B715" s="130"/>
      <c r="C715" s="611">
        <v>318</v>
      </c>
      <c r="D715" s="656" t="e">
        <f t="shared" ca="1" si="88"/>
        <v>#N/A</v>
      </c>
      <c r="E715" s="620"/>
      <c r="F715" s="620"/>
      <c r="G715" s="620"/>
      <c r="H715" s="620"/>
      <c r="I715" s="620"/>
      <c r="J715" s="620"/>
      <c r="K715" s="570"/>
      <c r="O715" s="1223"/>
      <c r="Q715" s="1222"/>
    </row>
    <row r="716" spans="2:17" x14ac:dyDescent="0.4">
      <c r="B716" s="130"/>
      <c r="C716" s="611">
        <v>319</v>
      </c>
      <c r="D716" s="656" t="e">
        <f t="shared" ca="1" si="88"/>
        <v>#N/A</v>
      </c>
      <c r="E716" s="620"/>
      <c r="F716" s="620"/>
      <c r="G716" s="620"/>
      <c r="H716" s="620"/>
      <c r="I716" s="620"/>
      <c r="J716" s="620"/>
      <c r="K716" s="570"/>
      <c r="O716" s="1223"/>
      <c r="Q716" s="1222"/>
    </row>
    <row r="717" spans="2:17" x14ac:dyDescent="0.4">
      <c r="B717" s="130"/>
      <c r="C717" s="611">
        <v>320</v>
      </c>
      <c r="D717" s="656" t="e">
        <f t="shared" ref="D717:D780" ca="1" si="89">$C$376*C717</f>
        <v>#N/A</v>
      </c>
      <c r="E717" s="620"/>
      <c r="F717" s="620"/>
      <c r="G717" s="620"/>
      <c r="H717" s="620"/>
      <c r="I717" s="620"/>
      <c r="J717" s="620"/>
      <c r="K717" s="570"/>
      <c r="O717" s="1223"/>
      <c r="Q717" s="1222"/>
    </row>
    <row r="718" spans="2:17" x14ac:dyDescent="0.4">
      <c r="B718" s="130"/>
      <c r="C718" s="611">
        <v>321</v>
      </c>
      <c r="D718" s="656" t="e">
        <f t="shared" ca="1" si="89"/>
        <v>#N/A</v>
      </c>
      <c r="E718" s="620"/>
      <c r="F718" s="620"/>
      <c r="G718" s="620"/>
      <c r="H718" s="620"/>
      <c r="I718" s="620"/>
      <c r="J718" s="620"/>
      <c r="K718" s="570"/>
      <c r="O718" s="1223"/>
      <c r="Q718" s="1222"/>
    </row>
    <row r="719" spans="2:17" x14ac:dyDescent="0.4">
      <c r="B719" s="130"/>
      <c r="C719" s="611">
        <v>322</v>
      </c>
      <c r="D719" s="656" t="e">
        <f t="shared" ca="1" si="89"/>
        <v>#N/A</v>
      </c>
      <c r="E719" s="620"/>
      <c r="F719" s="620"/>
      <c r="G719" s="620"/>
      <c r="H719" s="620"/>
      <c r="I719" s="620"/>
      <c r="J719" s="620"/>
      <c r="K719" s="570"/>
      <c r="O719" s="1223"/>
      <c r="Q719" s="1222"/>
    </row>
    <row r="720" spans="2:17" x14ac:dyDescent="0.4">
      <c r="B720" s="130"/>
      <c r="C720" s="611">
        <v>323</v>
      </c>
      <c r="D720" s="656" t="e">
        <f t="shared" ca="1" si="89"/>
        <v>#N/A</v>
      </c>
      <c r="E720" s="620"/>
      <c r="F720" s="620"/>
      <c r="G720" s="620"/>
      <c r="H720" s="620"/>
      <c r="I720" s="620"/>
      <c r="J720" s="620"/>
      <c r="K720" s="570"/>
      <c r="O720" s="1223"/>
      <c r="Q720" s="1222"/>
    </row>
    <row r="721" spans="2:17" x14ac:dyDescent="0.4">
      <c r="B721" s="130"/>
      <c r="C721" s="611">
        <v>324</v>
      </c>
      <c r="D721" s="656" t="e">
        <f t="shared" ca="1" si="89"/>
        <v>#N/A</v>
      </c>
      <c r="E721" s="620"/>
      <c r="F721" s="620"/>
      <c r="G721" s="620"/>
      <c r="H721" s="620"/>
      <c r="I721" s="620"/>
      <c r="J721" s="620"/>
      <c r="K721" s="570"/>
      <c r="O721" s="1223"/>
      <c r="Q721" s="1222"/>
    </row>
    <row r="722" spans="2:17" x14ac:dyDescent="0.4">
      <c r="B722" s="130"/>
      <c r="C722" s="611">
        <v>325</v>
      </c>
      <c r="D722" s="656" t="e">
        <f t="shared" ca="1" si="89"/>
        <v>#N/A</v>
      </c>
      <c r="E722" s="620"/>
      <c r="F722" s="620"/>
      <c r="G722" s="620"/>
      <c r="H722" s="620"/>
      <c r="I722" s="620"/>
      <c r="J722" s="620"/>
      <c r="K722" s="570"/>
      <c r="O722" s="1223"/>
      <c r="Q722" s="1222"/>
    </row>
    <row r="723" spans="2:17" x14ac:dyDescent="0.4">
      <c r="B723" s="130"/>
      <c r="C723" s="611">
        <v>326</v>
      </c>
      <c r="D723" s="656" t="e">
        <f t="shared" ca="1" si="89"/>
        <v>#N/A</v>
      </c>
      <c r="E723" s="620"/>
      <c r="F723" s="620"/>
      <c r="G723" s="620"/>
      <c r="H723" s="620"/>
      <c r="I723" s="620"/>
      <c r="J723" s="620"/>
      <c r="K723" s="570"/>
      <c r="O723" s="1223"/>
      <c r="Q723" s="1222"/>
    </row>
    <row r="724" spans="2:17" x14ac:dyDescent="0.4">
      <c r="B724" s="130"/>
      <c r="C724" s="611">
        <v>327</v>
      </c>
      <c r="D724" s="656" t="e">
        <f t="shared" ca="1" si="89"/>
        <v>#N/A</v>
      </c>
      <c r="E724" s="620"/>
      <c r="F724" s="620"/>
      <c r="G724" s="620"/>
      <c r="H724" s="620"/>
      <c r="I724" s="620"/>
      <c r="J724" s="620"/>
      <c r="K724" s="570"/>
      <c r="O724" s="1223"/>
      <c r="Q724" s="1222"/>
    </row>
    <row r="725" spans="2:17" x14ac:dyDescent="0.4">
      <c r="B725" s="130"/>
      <c r="C725" s="611">
        <v>328</v>
      </c>
      <c r="D725" s="656" t="e">
        <f t="shared" ca="1" si="89"/>
        <v>#N/A</v>
      </c>
      <c r="E725" s="620"/>
      <c r="F725" s="620"/>
      <c r="G725" s="620"/>
      <c r="H725" s="620"/>
      <c r="I725" s="620"/>
      <c r="J725" s="620"/>
      <c r="K725" s="570"/>
      <c r="O725" s="1223"/>
      <c r="Q725" s="1222"/>
    </row>
    <row r="726" spans="2:17" x14ac:dyDescent="0.4">
      <c r="B726" s="130"/>
      <c r="C726" s="611">
        <v>329</v>
      </c>
      <c r="D726" s="656" t="e">
        <f t="shared" ca="1" si="89"/>
        <v>#N/A</v>
      </c>
      <c r="E726" s="620"/>
      <c r="F726" s="620"/>
      <c r="G726" s="620"/>
      <c r="H726" s="620"/>
      <c r="I726" s="620"/>
      <c r="J726" s="620"/>
      <c r="K726" s="570"/>
      <c r="O726" s="1223"/>
      <c r="Q726" s="1222"/>
    </row>
    <row r="727" spans="2:17" x14ac:dyDescent="0.4">
      <c r="B727" s="130"/>
      <c r="C727" s="611">
        <v>330</v>
      </c>
      <c r="D727" s="656" t="e">
        <f t="shared" ca="1" si="89"/>
        <v>#N/A</v>
      </c>
      <c r="E727" s="620"/>
      <c r="F727" s="620"/>
      <c r="G727" s="620"/>
      <c r="H727" s="620"/>
      <c r="I727" s="620"/>
      <c r="J727" s="620"/>
      <c r="K727" s="570"/>
      <c r="O727" s="1223"/>
      <c r="Q727" s="1222"/>
    </row>
    <row r="728" spans="2:17" x14ac:dyDescent="0.4">
      <c r="B728" s="130"/>
      <c r="C728" s="611">
        <v>331</v>
      </c>
      <c r="D728" s="656" t="e">
        <f t="shared" ca="1" si="89"/>
        <v>#N/A</v>
      </c>
      <c r="E728" s="620"/>
      <c r="F728" s="620"/>
      <c r="G728" s="620"/>
      <c r="H728" s="620"/>
      <c r="I728" s="620"/>
      <c r="J728" s="620"/>
      <c r="K728" s="570"/>
      <c r="O728" s="1223"/>
      <c r="Q728" s="1222"/>
    </row>
    <row r="729" spans="2:17" x14ac:dyDescent="0.4">
      <c r="B729" s="130"/>
      <c r="C729" s="611">
        <v>332</v>
      </c>
      <c r="D729" s="656" t="e">
        <f t="shared" ca="1" si="89"/>
        <v>#N/A</v>
      </c>
      <c r="E729" s="620"/>
      <c r="F729" s="620"/>
      <c r="G729" s="620"/>
      <c r="H729" s="620"/>
      <c r="I729" s="620"/>
      <c r="J729" s="620"/>
      <c r="K729" s="570"/>
      <c r="O729" s="1223"/>
      <c r="Q729" s="1222"/>
    </row>
    <row r="730" spans="2:17" x14ac:dyDescent="0.4">
      <c r="B730" s="130"/>
      <c r="C730" s="611">
        <v>333</v>
      </c>
      <c r="D730" s="656" t="e">
        <f t="shared" ca="1" si="89"/>
        <v>#N/A</v>
      </c>
      <c r="E730" s="620"/>
      <c r="F730" s="620"/>
      <c r="G730" s="620"/>
      <c r="H730" s="620"/>
      <c r="I730" s="620"/>
      <c r="J730" s="620"/>
      <c r="K730" s="570"/>
      <c r="O730" s="1223"/>
      <c r="Q730" s="1222"/>
    </row>
    <row r="731" spans="2:17" x14ac:dyDescent="0.4">
      <c r="B731" s="130"/>
      <c r="C731" s="611">
        <v>334</v>
      </c>
      <c r="D731" s="656" t="e">
        <f t="shared" ca="1" si="89"/>
        <v>#N/A</v>
      </c>
      <c r="E731" s="620"/>
      <c r="F731" s="620"/>
      <c r="G731" s="620"/>
      <c r="H731" s="620"/>
      <c r="I731" s="620"/>
      <c r="J731" s="620"/>
      <c r="K731" s="570"/>
      <c r="O731" s="1223"/>
      <c r="Q731" s="1222"/>
    </row>
    <row r="732" spans="2:17" x14ac:dyDescent="0.4">
      <c r="B732" s="130"/>
      <c r="C732" s="611">
        <v>335</v>
      </c>
      <c r="D732" s="656" t="e">
        <f t="shared" ca="1" si="89"/>
        <v>#N/A</v>
      </c>
      <c r="E732" s="620"/>
      <c r="F732" s="620"/>
      <c r="G732" s="620"/>
      <c r="H732" s="620"/>
      <c r="I732" s="620"/>
      <c r="J732" s="620"/>
      <c r="K732" s="570"/>
      <c r="O732" s="1223"/>
      <c r="Q732" s="1222"/>
    </row>
    <row r="733" spans="2:17" x14ac:dyDescent="0.4">
      <c r="B733" s="130"/>
      <c r="C733" s="611">
        <v>336</v>
      </c>
      <c r="D733" s="656" t="e">
        <f t="shared" ca="1" si="89"/>
        <v>#N/A</v>
      </c>
      <c r="E733" s="620"/>
      <c r="F733" s="620"/>
      <c r="G733" s="620"/>
      <c r="H733" s="620"/>
      <c r="I733" s="620"/>
      <c r="J733" s="620"/>
      <c r="K733" s="570"/>
      <c r="O733" s="1223"/>
      <c r="Q733" s="1222"/>
    </row>
    <row r="734" spans="2:17" x14ac:dyDescent="0.4">
      <c r="B734" s="130"/>
      <c r="C734" s="611">
        <v>337</v>
      </c>
      <c r="D734" s="656" t="e">
        <f t="shared" ca="1" si="89"/>
        <v>#N/A</v>
      </c>
      <c r="E734" s="620"/>
      <c r="F734" s="620"/>
      <c r="G734" s="620"/>
      <c r="H734" s="620"/>
      <c r="I734" s="620"/>
      <c r="J734" s="620"/>
      <c r="K734" s="570"/>
      <c r="O734" s="1223"/>
      <c r="Q734" s="1222"/>
    </row>
    <row r="735" spans="2:17" x14ac:dyDescent="0.4">
      <c r="B735" s="130"/>
      <c r="C735" s="611">
        <v>338</v>
      </c>
      <c r="D735" s="656" t="e">
        <f t="shared" ca="1" si="89"/>
        <v>#N/A</v>
      </c>
      <c r="E735" s="620"/>
      <c r="F735" s="620"/>
      <c r="G735" s="620"/>
      <c r="H735" s="620"/>
      <c r="I735" s="620"/>
      <c r="J735" s="620"/>
      <c r="K735" s="570"/>
      <c r="O735" s="1223"/>
      <c r="Q735" s="1222"/>
    </row>
    <row r="736" spans="2:17" x14ac:dyDescent="0.4">
      <c r="B736" s="130"/>
      <c r="C736" s="611">
        <v>339</v>
      </c>
      <c r="D736" s="656" t="e">
        <f t="shared" ca="1" si="89"/>
        <v>#N/A</v>
      </c>
      <c r="E736" s="620"/>
      <c r="F736" s="620"/>
      <c r="G736" s="620"/>
      <c r="H736" s="620"/>
      <c r="I736" s="620"/>
      <c r="J736" s="620"/>
      <c r="K736" s="570"/>
      <c r="O736" s="1223"/>
      <c r="Q736" s="1222"/>
    </row>
    <row r="737" spans="2:17" x14ac:dyDescent="0.4">
      <c r="B737" s="130"/>
      <c r="C737" s="611">
        <v>340</v>
      </c>
      <c r="D737" s="656" t="e">
        <f t="shared" ca="1" si="89"/>
        <v>#N/A</v>
      </c>
      <c r="E737" s="620"/>
      <c r="F737" s="620"/>
      <c r="G737" s="620"/>
      <c r="H737" s="620"/>
      <c r="I737" s="620"/>
      <c r="J737" s="620"/>
      <c r="K737" s="570"/>
      <c r="O737" s="1223"/>
      <c r="Q737" s="1222"/>
    </row>
    <row r="738" spans="2:17" x14ac:dyDescent="0.4">
      <c r="B738" s="130"/>
      <c r="C738" s="611">
        <v>341</v>
      </c>
      <c r="D738" s="656" t="e">
        <f t="shared" ca="1" si="89"/>
        <v>#N/A</v>
      </c>
      <c r="E738" s="620"/>
      <c r="F738" s="620"/>
      <c r="G738" s="620"/>
      <c r="H738" s="620"/>
      <c r="I738" s="620"/>
      <c r="J738" s="620"/>
      <c r="K738" s="570"/>
      <c r="O738" s="1223"/>
      <c r="Q738" s="1222"/>
    </row>
    <row r="739" spans="2:17" x14ac:dyDescent="0.4">
      <c r="B739" s="130"/>
      <c r="C739" s="611">
        <v>342</v>
      </c>
      <c r="D739" s="656" t="e">
        <f t="shared" ca="1" si="89"/>
        <v>#N/A</v>
      </c>
      <c r="E739" s="620"/>
      <c r="F739" s="620"/>
      <c r="G739" s="620"/>
      <c r="H739" s="620"/>
      <c r="I739" s="620"/>
      <c r="J739" s="620"/>
      <c r="K739" s="570"/>
      <c r="O739" s="1223"/>
      <c r="Q739" s="1222"/>
    </row>
    <row r="740" spans="2:17" x14ac:dyDescent="0.4">
      <c r="B740" s="130"/>
      <c r="C740" s="611">
        <v>343</v>
      </c>
      <c r="D740" s="656" t="e">
        <f t="shared" ca="1" si="89"/>
        <v>#N/A</v>
      </c>
      <c r="E740" s="620"/>
      <c r="F740" s="620"/>
      <c r="G740" s="620"/>
      <c r="H740" s="620"/>
      <c r="I740" s="620"/>
      <c r="J740" s="620"/>
      <c r="K740" s="570"/>
      <c r="O740" s="1223"/>
      <c r="Q740" s="1222"/>
    </row>
    <row r="741" spans="2:17" x14ac:dyDescent="0.4">
      <c r="B741" s="130"/>
      <c r="C741" s="611">
        <v>344</v>
      </c>
      <c r="D741" s="656" t="e">
        <f t="shared" ca="1" si="89"/>
        <v>#N/A</v>
      </c>
      <c r="E741" s="620"/>
      <c r="F741" s="620"/>
      <c r="G741" s="620"/>
      <c r="H741" s="620"/>
      <c r="I741" s="620"/>
      <c r="J741" s="620"/>
      <c r="K741" s="570"/>
      <c r="O741" s="1223"/>
      <c r="Q741" s="1222"/>
    </row>
    <row r="742" spans="2:17" x14ac:dyDescent="0.4">
      <c r="B742" s="130"/>
      <c r="C742" s="611">
        <v>345</v>
      </c>
      <c r="D742" s="656" t="e">
        <f t="shared" ca="1" si="89"/>
        <v>#N/A</v>
      </c>
      <c r="E742" s="620"/>
      <c r="F742" s="620"/>
      <c r="G742" s="620"/>
      <c r="H742" s="620"/>
      <c r="I742" s="620"/>
      <c r="J742" s="620"/>
      <c r="K742" s="570"/>
      <c r="O742" s="1223"/>
      <c r="Q742" s="1222"/>
    </row>
    <row r="743" spans="2:17" x14ac:dyDescent="0.4">
      <c r="B743" s="130"/>
      <c r="C743" s="611">
        <v>346</v>
      </c>
      <c r="D743" s="656" t="e">
        <f t="shared" ca="1" si="89"/>
        <v>#N/A</v>
      </c>
      <c r="E743" s="620"/>
      <c r="F743" s="620"/>
      <c r="G743" s="620"/>
      <c r="H743" s="620"/>
      <c r="I743" s="620"/>
      <c r="J743" s="620"/>
      <c r="K743" s="570"/>
      <c r="O743" s="1223"/>
      <c r="Q743" s="1222"/>
    </row>
    <row r="744" spans="2:17" x14ac:dyDescent="0.4">
      <c r="B744" s="130"/>
      <c r="C744" s="611">
        <v>347</v>
      </c>
      <c r="D744" s="656" t="e">
        <f t="shared" ca="1" si="89"/>
        <v>#N/A</v>
      </c>
      <c r="E744" s="620"/>
      <c r="F744" s="620"/>
      <c r="G744" s="620"/>
      <c r="H744" s="620"/>
      <c r="I744" s="620"/>
      <c r="J744" s="620"/>
      <c r="K744" s="570"/>
      <c r="O744" s="1223"/>
      <c r="Q744" s="1222"/>
    </row>
    <row r="745" spans="2:17" x14ac:dyDescent="0.4">
      <c r="B745" s="130"/>
      <c r="C745" s="611">
        <v>348</v>
      </c>
      <c r="D745" s="656" t="e">
        <f t="shared" ca="1" si="89"/>
        <v>#N/A</v>
      </c>
      <c r="E745" s="620"/>
      <c r="F745" s="620"/>
      <c r="G745" s="620"/>
      <c r="H745" s="620"/>
      <c r="I745" s="620"/>
      <c r="J745" s="620"/>
      <c r="K745" s="570"/>
      <c r="O745" s="1223"/>
      <c r="Q745" s="1222"/>
    </row>
    <row r="746" spans="2:17" x14ac:dyDescent="0.4">
      <c r="B746" s="130"/>
      <c r="C746" s="611">
        <v>349</v>
      </c>
      <c r="D746" s="656" t="e">
        <f t="shared" ca="1" si="89"/>
        <v>#N/A</v>
      </c>
      <c r="E746" s="620"/>
      <c r="F746" s="620"/>
      <c r="G746" s="620"/>
      <c r="H746" s="620"/>
      <c r="I746" s="620"/>
      <c r="J746" s="620"/>
      <c r="K746" s="570"/>
      <c r="O746" s="1223"/>
      <c r="Q746" s="1222"/>
    </row>
    <row r="747" spans="2:17" x14ac:dyDescent="0.4">
      <c r="B747" s="130"/>
      <c r="C747" s="611">
        <v>350</v>
      </c>
      <c r="D747" s="656" t="e">
        <f t="shared" ca="1" si="89"/>
        <v>#N/A</v>
      </c>
      <c r="E747" s="620"/>
      <c r="F747" s="620"/>
      <c r="G747" s="620"/>
      <c r="H747" s="620"/>
      <c r="I747" s="620"/>
      <c r="J747" s="620"/>
      <c r="K747" s="570"/>
      <c r="O747" s="1223"/>
      <c r="Q747" s="1222"/>
    </row>
    <row r="748" spans="2:17" x14ac:dyDescent="0.4">
      <c r="B748" s="130"/>
      <c r="C748" s="611">
        <v>351</v>
      </c>
      <c r="D748" s="656" t="e">
        <f t="shared" ca="1" si="89"/>
        <v>#N/A</v>
      </c>
      <c r="E748" s="620"/>
      <c r="F748" s="620"/>
      <c r="G748" s="620"/>
      <c r="H748" s="620"/>
      <c r="I748" s="620"/>
      <c r="J748" s="620"/>
      <c r="K748" s="570"/>
      <c r="O748" s="1223"/>
      <c r="Q748" s="1222"/>
    </row>
    <row r="749" spans="2:17" x14ac:dyDescent="0.4">
      <c r="B749" s="130"/>
      <c r="C749" s="611">
        <v>352</v>
      </c>
      <c r="D749" s="656" t="e">
        <f t="shared" ca="1" si="89"/>
        <v>#N/A</v>
      </c>
      <c r="E749" s="620"/>
      <c r="F749" s="620"/>
      <c r="G749" s="620"/>
      <c r="H749" s="620"/>
      <c r="I749" s="620"/>
      <c r="J749" s="620"/>
      <c r="K749" s="570"/>
      <c r="O749" s="1223"/>
      <c r="Q749" s="1222"/>
    </row>
    <row r="750" spans="2:17" x14ac:dyDescent="0.4">
      <c r="B750" s="130"/>
      <c r="C750" s="611">
        <v>353</v>
      </c>
      <c r="D750" s="656" t="e">
        <f t="shared" ca="1" si="89"/>
        <v>#N/A</v>
      </c>
      <c r="E750" s="620"/>
      <c r="F750" s="620"/>
      <c r="G750" s="620"/>
      <c r="H750" s="620"/>
      <c r="I750" s="620"/>
      <c r="J750" s="620"/>
      <c r="K750" s="570"/>
      <c r="O750" s="1223"/>
      <c r="Q750" s="1222"/>
    </row>
    <row r="751" spans="2:17" x14ac:dyDescent="0.4">
      <c r="B751" s="130"/>
      <c r="C751" s="611">
        <v>354</v>
      </c>
      <c r="D751" s="656" t="e">
        <f t="shared" ca="1" si="89"/>
        <v>#N/A</v>
      </c>
      <c r="E751" s="620"/>
      <c r="F751" s="620"/>
      <c r="G751" s="620"/>
      <c r="H751" s="620"/>
      <c r="I751" s="620"/>
      <c r="J751" s="620"/>
      <c r="K751" s="570"/>
      <c r="O751" s="1223"/>
      <c r="Q751" s="1222"/>
    </row>
    <row r="752" spans="2:17" x14ac:dyDescent="0.4">
      <c r="B752" s="130"/>
      <c r="C752" s="611">
        <v>355</v>
      </c>
      <c r="D752" s="656" t="e">
        <f t="shared" ca="1" si="89"/>
        <v>#N/A</v>
      </c>
      <c r="E752" s="620"/>
      <c r="F752" s="620"/>
      <c r="G752" s="620"/>
      <c r="H752" s="620"/>
      <c r="I752" s="620"/>
      <c r="J752" s="620"/>
      <c r="K752" s="570"/>
      <c r="O752" s="1223"/>
      <c r="Q752" s="1222"/>
    </row>
    <row r="753" spans="2:17" x14ac:dyDescent="0.4">
      <c r="B753" s="130"/>
      <c r="C753" s="611">
        <v>356</v>
      </c>
      <c r="D753" s="656" t="e">
        <f t="shared" ca="1" si="89"/>
        <v>#N/A</v>
      </c>
      <c r="E753" s="620"/>
      <c r="F753" s="620"/>
      <c r="G753" s="620"/>
      <c r="H753" s="620"/>
      <c r="I753" s="620"/>
      <c r="J753" s="620"/>
      <c r="K753" s="570"/>
      <c r="O753" s="1223"/>
      <c r="Q753" s="1222"/>
    </row>
    <row r="754" spans="2:17" x14ac:dyDescent="0.4">
      <c r="B754" s="130"/>
      <c r="C754" s="611">
        <v>357</v>
      </c>
      <c r="D754" s="656" t="e">
        <f t="shared" ca="1" si="89"/>
        <v>#N/A</v>
      </c>
      <c r="E754" s="620"/>
      <c r="F754" s="620"/>
      <c r="G754" s="620"/>
      <c r="H754" s="620"/>
      <c r="I754" s="620"/>
      <c r="J754" s="620"/>
      <c r="K754" s="570"/>
      <c r="O754" s="1223"/>
      <c r="Q754" s="1222"/>
    </row>
    <row r="755" spans="2:17" x14ac:dyDescent="0.4">
      <c r="B755" s="130"/>
      <c r="C755" s="611">
        <v>358</v>
      </c>
      <c r="D755" s="656" t="e">
        <f t="shared" ca="1" si="89"/>
        <v>#N/A</v>
      </c>
      <c r="E755" s="620"/>
      <c r="F755" s="620"/>
      <c r="G755" s="620"/>
      <c r="H755" s="620"/>
      <c r="I755" s="620"/>
      <c r="J755" s="620"/>
      <c r="K755" s="570"/>
      <c r="O755" s="1223"/>
      <c r="Q755" s="1222"/>
    </row>
    <row r="756" spans="2:17" x14ac:dyDescent="0.4">
      <c r="B756" s="130"/>
      <c r="C756" s="611">
        <v>359</v>
      </c>
      <c r="D756" s="656" t="e">
        <f t="shared" ca="1" si="89"/>
        <v>#N/A</v>
      </c>
      <c r="E756" s="620"/>
      <c r="F756" s="620"/>
      <c r="G756" s="620"/>
      <c r="H756" s="620"/>
      <c r="I756" s="620"/>
      <c r="J756" s="620"/>
      <c r="K756" s="570"/>
      <c r="O756" s="1223"/>
      <c r="Q756" s="1222"/>
    </row>
    <row r="757" spans="2:17" x14ac:dyDescent="0.4">
      <c r="B757" s="130"/>
      <c r="C757" s="611">
        <v>360</v>
      </c>
      <c r="D757" s="656" t="e">
        <f t="shared" ca="1" si="89"/>
        <v>#N/A</v>
      </c>
      <c r="E757" s="620"/>
      <c r="F757" s="620"/>
      <c r="G757" s="620"/>
      <c r="H757" s="620"/>
      <c r="I757" s="620"/>
      <c r="J757" s="620"/>
      <c r="K757" s="570"/>
      <c r="O757" s="1223"/>
      <c r="Q757" s="1222"/>
    </row>
    <row r="758" spans="2:17" x14ac:dyDescent="0.4">
      <c r="B758" s="130"/>
      <c r="C758" s="611">
        <v>361</v>
      </c>
      <c r="D758" s="656" t="e">
        <f t="shared" ca="1" si="89"/>
        <v>#N/A</v>
      </c>
      <c r="E758" s="620"/>
      <c r="F758" s="620"/>
      <c r="G758" s="620"/>
      <c r="H758" s="620"/>
      <c r="I758" s="620"/>
      <c r="J758" s="620"/>
      <c r="K758" s="570"/>
      <c r="O758" s="1223"/>
      <c r="Q758" s="1222"/>
    </row>
    <row r="759" spans="2:17" x14ac:dyDescent="0.4">
      <c r="B759" s="130"/>
      <c r="C759" s="611">
        <v>362</v>
      </c>
      <c r="D759" s="656" t="e">
        <f t="shared" ca="1" si="89"/>
        <v>#N/A</v>
      </c>
      <c r="E759" s="620"/>
      <c r="F759" s="620"/>
      <c r="G759" s="620"/>
      <c r="H759" s="620"/>
      <c r="I759" s="620"/>
      <c r="J759" s="620"/>
      <c r="K759" s="570"/>
      <c r="O759" s="1223"/>
      <c r="Q759" s="1222"/>
    </row>
    <row r="760" spans="2:17" x14ac:dyDescent="0.4">
      <c r="B760" s="130"/>
      <c r="C760" s="611">
        <v>363</v>
      </c>
      <c r="D760" s="656" t="e">
        <f t="shared" ca="1" si="89"/>
        <v>#N/A</v>
      </c>
      <c r="E760" s="620"/>
      <c r="F760" s="620"/>
      <c r="G760" s="620"/>
      <c r="H760" s="620"/>
      <c r="I760" s="620"/>
      <c r="J760" s="620"/>
      <c r="K760" s="570"/>
      <c r="O760" s="1223"/>
      <c r="Q760" s="1222"/>
    </row>
    <row r="761" spans="2:17" x14ac:dyDescent="0.4">
      <c r="B761" s="130"/>
      <c r="C761" s="611">
        <v>364</v>
      </c>
      <c r="D761" s="656" t="e">
        <f t="shared" ca="1" si="89"/>
        <v>#N/A</v>
      </c>
      <c r="E761" s="620"/>
      <c r="F761" s="620"/>
      <c r="G761" s="620"/>
      <c r="H761" s="620"/>
      <c r="I761" s="620"/>
      <c r="J761" s="620"/>
      <c r="K761" s="570"/>
      <c r="O761" s="1223"/>
      <c r="Q761" s="1222"/>
    </row>
    <row r="762" spans="2:17" x14ac:dyDescent="0.4">
      <c r="B762" s="130"/>
      <c r="C762" s="611">
        <v>365</v>
      </c>
      <c r="D762" s="656" t="e">
        <f t="shared" ca="1" si="89"/>
        <v>#N/A</v>
      </c>
      <c r="E762" s="620"/>
      <c r="F762" s="620"/>
      <c r="G762" s="620"/>
      <c r="H762" s="620"/>
      <c r="I762" s="620"/>
      <c r="J762" s="620"/>
      <c r="K762" s="570"/>
      <c r="O762" s="1223"/>
      <c r="Q762" s="1222"/>
    </row>
    <row r="763" spans="2:17" x14ac:dyDescent="0.4">
      <c r="B763" s="130"/>
      <c r="C763" s="611">
        <v>366</v>
      </c>
      <c r="D763" s="656" t="e">
        <f t="shared" ca="1" si="89"/>
        <v>#N/A</v>
      </c>
      <c r="E763" s="620"/>
      <c r="F763" s="620"/>
      <c r="G763" s="620"/>
      <c r="H763" s="620"/>
      <c r="I763" s="620"/>
      <c r="J763" s="620"/>
      <c r="K763" s="570"/>
      <c r="O763" s="1223"/>
      <c r="Q763" s="1222"/>
    </row>
    <row r="764" spans="2:17" x14ac:dyDescent="0.4">
      <c r="B764" s="130"/>
      <c r="C764" s="611">
        <v>367</v>
      </c>
      <c r="D764" s="656" t="e">
        <f t="shared" ca="1" si="89"/>
        <v>#N/A</v>
      </c>
      <c r="E764" s="620"/>
      <c r="F764" s="620"/>
      <c r="G764" s="620"/>
      <c r="H764" s="620"/>
      <c r="I764" s="620"/>
      <c r="J764" s="620"/>
      <c r="K764" s="570"/>
      <c r="O764" s="1223"/>
      <c r="Q764" s="1222"/>
    </row>
    <row r="765" spans="2:17" x14ac:dyDescent="0.4">
      <c r="B765" s="130"/>
      <c r="C765" s="611">
        <v>368</v>
      </c>
      <c r="D765" s="656" t="e">
        <f t="shared" ca="1" si="89"/>
        <v>#N/A</v>
      </c>
      <c r="E765" s="620"/>
      <c r="F765" s="620"/>
      <c r="G765" s="620"/>
      <c r="H765" s="620"/>
      <c r="I765" s="620"/>
      <c r="J765" s="620"/>
      <c r="K765" s="570"/>
      <c r="O765" s="1223"/>
      <c r="Q765" s="1222"/>
    </row>
    <row r="766" spans="2:17" x14ac:dyDescent="0.4">
      <c r="B766" s="130"/>
      <c r="C766" s="611">
        <v>369</v>
      </c>
      <c r="D766" s="656" t="e">
        <f t="shared" ca="1" si="89"/>
        <v>#N/A</v>
      </c>
      <c r="E766" s="620"/>
      <c r="F766" s="620"/>
      <c r="G766" s="620"/>
      <c r="H766" s="620"/>
      <c r="I766" s="620"/>
      <c r="J766" s="620"/>
      <c r="K766" s="570"/>
      <c r="O766" s="1223"/>
      <c r="Q766" s="1222"/>
    </row>
    <row r="767" spans="2:17" x14ac:dyDescent="0.4">
      <c r="B767" s="130"/>
      <c r="C767" s="611">
        <v>370</v>
      </c>
      <c r="D767" s="656" t="e">
        <f t="shared" ca="1" si="89"/>
        <v>#N/A</v>
      </c>
      <c r="E767" s="620"/>
      <c r="F767" s="620"/>
      <c r="G767" s="620"/>
      <c r="H767" s="620"/>
      <c r="I767" s="620"/>
      <c r="J767" s="620"/>
      <c r="K767" s="570"/>
      <c r="O767" s="1223"/>
      <c r="Q767" s="1222"/>
    </row>
    <row r="768" spans="2:17" x14ac:dyDescent="0.4">
      <c r="B768" s="130"/>
      <c r="C768" s="611">
        <v>371</v>
      </c>
      <c r="D768" s="656" t="e">
        <f t="shared" ca="1" si="89"/>
        <v>#N/A</v>
      </c>
      <c r="E768" s="620"/>
      <c r="F768" s="620"/>
      <c r="G768" s="620"/>
      <c r="H768" s="620"/>
      <c r="I768" s="620"/>
      <c r="J768" s="620"/>
      <c r="K768" s="570"/>
      <c r="O768" s="1223"/>
      <c r="Q768" s="1222"/>
    </row>
    <row r="769" spans="2:17" x14ac:dyDescent="0.4">
      <c r="B769" s="130"/>
      <c r="C769" s="611">
        <v>372</v>
      </c>
      <c r="D769" s="656" t="e">
        <f t="shared" ca="1" si="89"/>
        <v>#N/A</v>
      </c>
      <c r="E769" s="620"/>
      <c r="F769" s="620"/>
      <c r="G769" s="620"/>
      <c r="H769" s="620"/>
      <c r="I769" s="620"/>
      <c r="J769" s="620"/>
      <c r="K769" s="570"/>
      <c r="O769" s="1223"/>
      <c r="Q769" s="1222"/>
    </row>
    <row r="770" spans="2:17" x14ac:dyDescent="0.4">
      <c r="B770" s="130"/>
      <c r="C770" s="611">
        <v>373</v>
      </c>
      <c r="D770" s="656" t="e">
        <f t="shared" ca="1" si="89"/>
        <v>#N/A</v>
      </c>
      <c r="E770" s="620"/>
      <c r="F770" s="620"/>
      <c r="G770" s="620"/>
      <c r="H770" s="620"/>
      <c r="I770" s="620"/>
      <c r="J770" s="620"/>
      <c r="K770" s="570"/>
      <c r="O770" s="1223"/>
      <c r="Q770" s="1222"/>
    </row>
    <row r="771" spans="2:17" x14ac:dyDescent="0.4">
      <c r="B771" s="130"/>
      <c r="C771" s="611">
        <v>374</v>
      </c>
      <c r="D771" s="656" t="e">
        <f t="shared" ca="1" si="89"/>
        <v>#N/A</v>
      </c>
      <c r="E771" s="620"/>
      <c r="F771" s="620"/>
      <c r="G771" s="620"/>
      <c r="H771" s="620"/>
      <c r="I771" s="620"/>
      <c r="J771" s="620"/>
      <c r="K771" s="570"/>
      <c r="O771" s="1223"/>
      <c r="Q771" s="1222"/>
    </row>
    <row r="772" spans="2:17" x14ac:dyDescent="0.4">
      <c r="B772" s="130"/>
      <c r="C772" s="611">
        <v>375</v>
      </c>
      <c r="D772" s="656" t="e">
        <f t="shared" ca="1" si="89"/>
        <v>#N/A</v>
      </c>
      <c r="E772" s="620"/>
      <c r="F772" s="620"/>
      <c r="G772" s="620"/>
      <c r="H772" s="620"/>
      <c r="I772" s="620"/>
      <c r="J772" s="620"/>
      <c r="K772" s="570"/>
      <c r="O772" s="1223"/>
      <c r="Q772" s="1222"/>
    </row>
    <row r="773" spans="2:17" x14ac:dyDescent="0.4">
      <c r="B773" s="130"/>
      <c r="C773" s="611">
        <v>376</v>
      </c>
      <c r="D773" s="656" t="e">
        <f t="shared" ca="1" si="89"/>
        <v>#N/A</v>
      </c>
      <c r="E773" s="620"/>
      <c r="F773" s="620"/>
      <c r="G773" s="620"/>
      <c r="H773" s="620"/>
      <c r="I773" s="620"/>
      <c r="J773" s="620"/>
      <c r="K773" s="570"/>
      <c r="O773" s="1223"/>
      <c r="Q773" s="1222"/>
    </row>
    <row r="774" spans="2:17" x14ac:dyDescent="0.4">
      <c r="B774" s="130"/>
      <c r="C774" s="611">
        <v>377</v>
      </c>
      <c r="D774" s="656" t="e">
        <f t="shared" ca="1" si="89"/>
        <v>#N/A</v>
      </c>
      <c r="E774" s="620"/>
      <c r="F774" s="620"/>
      <c r="G774" s="620"/>
      <c r="H774" s="620"/>
      <c r="I774" s="620"/>
      <c r="J774" s="620"/>
      <c r="K774" s="570"/>
      <c r="O774" s="1223"/>
      <c r="Q774" s="1222"/>
    </row>
    <row r="775" spans="2:17" x14ac:dyDescent="0.4">
      <c r="B775" s="130"/>
      <c r="C775" s="611">
        <v>378</v>
      </c>
      <c r="D775" s="656" t="e">
        <f t="shared" ca="1" si="89"/>
        <v>#N/A</v>
      </c>
      <c r="E775" s="620"/>
      <c r="F775" s="620"/>
      <c r="G775" s="620"/>
      <c r="H775" s="620"/>
      <c r="I775" s="620"/>
      <c r="J775" s="620"/>
      <c r="K775" s="570"/>
      <c r="O775" s="1223"/>
      <c r="Q775" s="1222"/>
    </row>
    <row r="776" spans="2:17" x14ac:dyDescent="0.4">
      <c r="B776" s="130"/>
      <c r="C776" s="611">
        <v>379</v>
      </c>
      <c r="D776" s="656" t="e">
        <f t="shared" ca="1" si="89"/>
        <v>#N/A</v>
      </c>
      <c r="E776" s="620"/>
      <c r="F776" s="620"/>
      <c r="G776" s="620"/>
      <c r="H776" s="620"/>
      <c r="I776" s="620"/>
      <c r="J776" s="620"/>
      <c r="K776" s="570"/>
      <c r="O776" s="1223"/>
      <c r="Q776" s="1222"/>
    </row>
    <row r="777" spans="2:17" x14ac:dyDescent="0.4">
      <c r="B777" s="130"/>
      <c r="C777" s="611">
        <v>380</v>
      </c>
      <c r="D777" s="656" t="e">
        <f t="shared" ca="1" si="89"/>
        <v>#N/A</v>
      </c>
      <c r="E777" s="620"/>
      <c r="F777" s="620"/>
      <c r="G777" s="620"/>
      <c r="H777" s="620"/>
      <c r="I777" s="620"/>
      <c r="J777" s="620"/>
      <c r="K777" s="570"/>
      <c r="O777" s="1223"/>
      <c r="Q777" s="1222"/>
    </row>
    <row r="778" spans="2:17" x14ac:dyDescent="0.4">
      <c r="B778" s="130"/>
      <c r="C778" s="611">
        <v>381</v>
      </c>
      <c r="D778" s="656" t="e">
        <f t="shared" ca="1" si="89"/>
        <v>#N/A</v>
      </c>
      <c r="E778" s="620"/>
      <c r="F778" s="620"/>
      <c r="G778" s="620"/>
      <c r="H778" s="620"/>
      <c r="I778" s="620"/>
      <c r="J778" s="620"/>
      <c r="K778" s="570"/>
      <c r="O778" s="1223"/>
      <c r="Q778" s="1222"/>
    </row>
    <row r="779" spans="2:17" x14ac:dyDescent="0.4">
      <c r="B779" s="130"/>
      <c r="C779" s="611">
        <v>382</v>
      </c>
      <c r="D779" s="656" t="e">
        <f t="shared" ca="1" si="89"/>
        <v>#N/A</v>
      </c>
      <c r="E779" s="620"/>
      <c r="F779" s="620"/>
      <c r="G779" s="620"/>
      <c r="H779" s="620"/>
      <c r="I779" s="620"/>
      <c r="J779" s="620"/>
      <c r="K779" s="570"/>
      <c r="O779" s="1223"/>
      <c r="Q779" s="1222"/>
    </row>
    <row r="780" spans="2:17" x14ac:dyDescent="0.4">
      <c r="B780" s="130"/>
      <c r="C780" s="611">
        <v>383</v>
      </c>
      <c r="D780" s="656" t="e">
        <f t="shared" ca="1" si="89"/>
        <v>#N/A</v>
      </c>
      <c r="E780" s="620"/>
      <c r="F780" s="620"/>
      <c r="G780" s="620"/>
      <c r="H780" s="620"/>
      <c r="I780" s="620"/>
      <c r="J780" s="620"/>
      <c r="K780" s="570"/>
      <c r="O780" s="1223"/>
      <c r="Q780" s="1222"/>
    </row>
    <row r="781" spans="2:17" x14ac:dyDescent="0.4">
      <c r="B781" s="130"/>
      <c r="C781" s="611">
        <v>384</v>
      </c>
      <c r="D781" s="656" t="e">
        <f t="shared" ref="D781:D844" ca="1" si="90">$C$376*C781</f>
        <v>#N/A</v>
      </c>
      <c r="E781" s="620"/>
      <c r="F781" s="620"/>
      <c r="G781" s="620"/>
      <c r="H781" s="620"/>
      <c r="I781" s="620"/>
      <c r="J781" s="620"/>
      <c r="K781" s="570"/>
      <c r="O781" s="1223"/>
      <c r="Q781" s="1222"/>
    </row>
    <row r="782" spans="2:17" x14ac:dyDescent="0.4">
      <c r="B782" s="130"/>
      <c r="C782" s="611">
        <v>385</v>
      </c>
      <c r="D782" s="656" t="e">
        <f t="shared" ca="1" si="90"/>
        <v>#N/A</v>
      </c>
      <c r="E782" s="620"/>
      <c r="F782" s="620"/>
      <c r="G782" s="620"/>
      <c r="H782" s="620"/>
      <c r="I782" s="620"/>
      <c r="J782" s="620"/>
      <c r="K782" s="570"/>
      <c r="O782" s="1223"/>
      <c r="Q782" s="1222"/>
    </row>
    <row r="783" spans="2:17" x14ac:dyDescent="0.4">
      <c r="B783" s="130"/>
      <c r="C783" s="611">
        <v>386</v>
      </c>
      <c r="D783" s="656" t="e">
        <f t="shared" ca="1" si="90"/>
        <v>#N/A</v>
      </c>
      <c r="E783" s="620"/>
      <c r="F783" s="620"/>
      <c r="G783" s="620"/>
      <c r="H783" s="620"/>
      <c r="I783" s="620"/>
      <c r="J783" s="620"/>
      <c r="K783" s="570"/>
      <c r="O783" s="1223"/>
      <c r="Q783" s="1222"/>
    </row>
    <row r="784" spans="2:17" x14ac:dyDescent="0.4">
      <c r="B784" s="130"/>
      <c r="C784" s="611">
        <v>387</v>
      </c>
      <c r="D784" s="656" t="e">
        <f t="shared" ca="1" si="90"/>
        <v>#N/A</v>
      </c>
      <c r="E784" s="620"/>
      <c r="F784" s="620"/>
      <c r="G784" s="620"/>
      <c r="H784" s="620"/>
      <c r="I784" s="620"/>
      <c r="J784" s="620"/>
      <c r="K784" s="570"/>
      <c r="O784" s="1223"/>
      <c r="Q784" s="1222"/>
    </row>
    <row r="785" spans="2:17" x14ac:dyDescent="0.4">
      <c r="B785" s="130"/>
      <c r="C785" s="611">
        <v>388</v>
      </c>
      <c r="D785" s="656" t="e">
        <f t="shared" ca="1" si="90"/>
        <v>#N/A</v>
      </c>
      <c r="E785" s="620"/>
      <c r="F785" s="620"/>
      <c r="G785" s="620"/>
      <c r="H785" s="620"/>
      <c r="I785" s="620"/>
      <c r="J785" s="620"/>
      <c r="K785" s="570"/>
      <c r="O785" s="1223"/>
      <c r="Q785" s="1222"/>
    </row>
    <row r="786" spans="2:17" x14ac:dyDescent="0.4">
      <c r="B786" s="130"/>
      <c r="C786" s="611">
        <v>389</v>
      </c>
      <c r="D786" s="656" t="e">
        <f t="shared" ca="1" si="90"/>
        <v>#N/A</v>
      </c>
      <c r="E786" s="620"/>
      <c r="F786" s="620"/>
      <c r="G786" s="620"/>
      <c r="H786" s="620"/>
      <c r="I786" s="620"/>
      <c r="J786" s="620"/>
      <c r="K786" s="570"/>
      <c r="O786" s="1223"/>
      <c r="Q786" s="1222"/>
    </row>
    <row r="787" spans="2:17" x14ac:dyDescent="0.4">
      <c r="B787" s="130"/>
      <c r="C787" s="611">
        <v>390</v>
      </c>
      <c r="D787" s="656" t="e">
        <f t="shared" ca="1" si="90"/>
        <v>#N/A</v>
      </c>
      <c r="E787" s="620"/>
      <c r="F787" s="620"/>
      <c r="G787" s="620"/>
      <c r="H787" s="620"/>
      <c r="I787" s="620"/>
      <c r="J787" s="620"/>
      <c r="K787" s="570"/>
      <c r="O787" s="1223"/>
      <c r="Q787" s="1222"/>
    </row>
    <row r="788" spans="2:17" x14ac:dyDescent="0.4">
      <c r="B788" s="130"/>
      <c r="C788" s="611">
        <v>391</v>
      </c>
      <c r="D788" s="656" t="e">
        <f t="shared" ca="1" si="90"/>
        <v>#N/A</v>
      </c>
      <c r="E788" s="620"/>
      <c r="F788" s="620"/>
      <c r="G788" s="620"/>
      <c r="H788" s="620"/>
      <c r="I788" s="620"/>
      <c r="J788" s="620"/>
      <c r="K788" s="570"/>
      <c r="O788" s="1223"/>
      <c r="Q788" s="1222"/>
    </row>
    <row r="789" spans="2:17" x14ac:dyDescent="0.4">
      <c r="B789" s="130"/>
      <c r="C789" s="611">
        <v>392</v>
      </c>
      <c r="D789" s="656" t="e">
        <f t="shared" ca="1" si="90"/>
        <v>#N/A</v>
      </c>
      <c r="E789" s="620"/>
      <c r="F789" s="620"/>
      <c r="G789" s="620"/>
      <c r="H789" s="620"/>
      <c r="I789" s="620"/>
      <c r="J789" s="620"/>
      <c r="K789" s="570"/>
      <c r="O789" s="1223"/>
      <c r="Q789" s="1222"/>
    </row>
    <row r="790" spans="2:17" x14ac:dyDescent="0.4">
      <c r="B790" s="130"/>
      <c r="C790" s="611">
        <v>393</v>
      </c>
      <c r="D790" s="656" t="e">
        <f t="shared" ca="1" si="90"/>
        <v>#N/A</v>
      </c>
      <c r="E790" s="620"/>
      <c r="F790" s="620"/>
      <c r="G790" s="620"/>
      <c r="H790" s="620"/>
      <c r="I790" s="620"/>
      <c r="J790" s="620"/>
      <c r="K790" s="570"/>
      <c r="O790" s="1223"/>
      <c r="Q790" s="1222"/>
    </row>
    <row r="791" spans="2:17" x14ac:dyDescent="0.4">
      <c r="B791" s="130"/>
      <c r="C791" s="611">
        <v>394</v>
      </c>
      <c r="D791" s="656" t="e">
        <f t="shared" ca="1" si="90"/>
        <v>#N/A</v>
      </c>
      <c r="E791" s="620"/>
      <c r="F791" s="620"/>
      <c r="G791" s="620"/>
      <c r="H791" s="620"/>
      <c r="I791" s="620"/>
      <c r="J791" s="620"/>
      <c r="K791" s="570"/>
      <c r="O791" s="1223"/>
      <c r="Q791" s="1222"/>
    </row>
    <row r="792" spans="2:17" x14ac:dyDescent="0.4">
      <c r="B792" s="130"/>
      <c r="C792" s="611">
        <v>395</v>
      </c>
      <c r="D792" s="656" t="e">
        <f t="shared" ca="1" si="90"/>
        <v>#N/A</v>
      </c>
      <c r="E792" s="620"/>
      <c r="F792" s="620"/>
      <c r="G792" s="620"/>
      <c r="H792" s="620"/>
      <c r="I792" s="620"/>
      <c r="J792" s="620"/>
      <c r="K792" s="570"/>
      <c r="O792" s="1223"/>
      <c r="Q792" s="1222"/>
    </row>
    <row r="793" spans="2:17" x14ac:dyDescent="0.4">
      <c r="B793" s="130"/>
      <c r="C793" s="611">
        <v>396</v>
      </c>
      <c r="D793" s="656" t="e">
        <f t="shared" ca="1" si="90"/>
        <v>#N/A</v>
      </c>
      <c r="E793" s="620"/>
      <c r="F793" s="620"/>
      <c r="G793" s="620"/>
      <c r="H793" s="620"/>
      <c r="I793" s="620"/>
      <c r="J793" s="620"/>
      <c r="K793" s="570"/>
      <c r="O793" s="1223"/>
      <c r="Q793" s="1222"/>
    </row>
    <row r="794" spans="2:17" x14ac:dyDescent="0.4">
      <c r="B794" s="130"/>
      <c r="C794" s="611">
        <v>397</v>
      </c>
      <c r="D794" s="656" t="e">
        <f t="shared" ca="1" si="90"/>
        <v>#N/A</v>
      </c>
      <c r="E794" s="620"/>
      <c r="F794" s="620"/>
      <c r="G794" s="620"/>
      <c r="H794" s="620"/>
      <c r="I794" s="620"/>
      <c r="J794" s="620"/>
      <c r="K794" s="570"/>
      <c r="O794" s="1223"/>
      <c r="Q794" s="1222"/>
    </row>
    <row r="795" spans="2:17" x14ac:dyDescent="0.4">
      <c r="B795" s="130"/>
      <c r="C795" s="611">
        <v>398</v>
      </c>
      <c r="D795" s="656" t="e">
        <f t="shared" ca="1" si="90"/>
        <v>#N/A</v>
      </c>
      <c r="E795" s="620"/>
      <c r="F795" s="620"/>
      <c r="G795" s="620"/>
      <c r="H795" s="620"/>
      <c r="I795" s="620"/>
      <c r="J795" s="620"/>
      <c r="K795" s="570"/>
      <c r="O795" s="1223"/>
      <c r="Q795" s="1222"/>
    </row>
    <row r="796" spans="2:17" x14ac:dyDescent="0.4">
      <c r="B796" s="130"/>
      <c r="C796" s="611">
        <v>399</v>
      </c>
      <c r="D796" s="656" t="e">
        <f t="shared" ca="1" si="90"/>
        <v>#N/A</v>
      </c>
      <c r="E796" s="620"/>
      <c r="F796" s="620"/>
      <c r="G796" s="620"/>
      <c r="H796" s="620"/>
      <c r="I796" s="620"/>
      <c r="J796" s="620"/>
      <c r="K796" s="570"/>
      <c r="O796" s="1223"/>
      <c r="Q796" s="1222"/>
    </row>
    <row r="797" spans="2:17" x14ac:dyDescent="0.4">
      <c r="B797" s="130"/>
      <c r="C797" s="611">
        <v>400</v>
      </c>
      <c r="D797" s="656" t="e">
        <f t="shared" ca="1" si="90"/>
        <v>#N/A</v>
      </c>
      <c r="E797" s="620"/>
      <c r="F797" s="620"/>
      <c r="G797" s="620"/>
      <c r="H797" s="620"/>
      <c r="I797" s="620"/>
      <c r="J797" s="620"/>
      <c r="K797" s="570"/>
      <c r="O797" s="1223"/>
      <c r="Q797" s="1222"/>
    </row>
    <row r="798" spans="2:17" x14ac:dyDescent="0.4">
      <c r="B798" s="130"/>
      <c r="C798" s="611">
        <v>401</v>
      </c>
      <c r="D798" s="656" t="e">
        <f t="shared" ca="1" si="90"/>
        <v>#N/A</v>
      </c>
      <c r="E798" s="620"/>
      <c r="F798" s="620"/>
      <c r="G798" s="620"/>
      <c r="H798" s="620"/>
      <c r="I798" s="620"/>
      <c r="J798" s="620"/>
      <c r="K798" s="570"/>
      <c r="O798" s="1223"/>
      <c r="Q798" s="1222"/>
    </row>
    <row r="799" spans="2:17" x14ac:dyDescent="0.4">
      <c r="B799" s="130"/>
      <c r="C799" s="611">
        <v>402</v>
      </c>
      <c r="D799" s="656" t="e">
        <f t="shared" ca="1" si="90"/>
        <v>#N/A</v>
      </c>
      <c r="E799" s="620"/>
      <c r="F799" s="620"/>
      <c r="G799" s="620"/>
      <c r="H799" s="620"/>
      <c r="I799" s="620"/>
      <c r="J799" s="620"/>
      <c r="K799" s="570"/>
      <c r="O799" s="1223"/>
      <c r="Q799" s="1222"/>
    </row>
    <row r="800" spans="2:17" x14ac:dyDescent="0.4">
      <c r="B800" s="130"/>
      <c r="C800" s="611">
        <v>403</v>
      </c>
      <c r="D800" s="656" t="e">
        <f t="shared" ca="1" si="90"/>
        <v>#N/A</v>
      </c>
      <c r="E800" s="620"/>
      <c r="F800" s="620"/>
      <c r="G800" s="620"/>
      <c r="H800" s="620"/>
      <c r="I800" s="620"/>
      <c r="J800" s="620"/>
      <c r="K800" s="570"/>
      <c r="O800" s="1223"/>
      <c r="Q800" s="1222"/>
    </row>
    <row r="801" spans="2:17" x14ac:dyDescent="0.4">
      <c r="B801" s="130"/>
      <c r="C801" s="611">
        <v>404</v>
      </c>
      <c r="D801" s="656" t="e">
        <f t="shared" ca="1" si="90"/>
        <v>#N/A</v>
      </c>
      <c r="E801" s="620"/>
      <c r="F801" s="620"/>
      <c r="G801" s="620"/>
      <c r="H801" s="620"/>
      <c r="I801" s="620"/>
      <c r="J801" s="620"/>
      <c r="K801" s="570"/>
      <c r="O801" s="1223"/>
      <c r="Q801" s="1222"/>
    </row>
    <row r="802" spans="2:17" x14ac:dyDescent="0.4">
      <c r="B802" s="130"/>
      <c r="C802" s="611">
        <v>405</v>
      </c>
      <c r="D802" s="656" t="e">
        <f t="shared" ca="1" si="90"/>
        <v>#N/A</v>
      </c>
      <c r="E802" s="620"/>
      <c r="F802" s="620"/>
      <c r="G802" s="620"/>
      <c r="H802" s="620"/>
      <c r="I802" s="620"/>
      <c r="J802" s="620"/>
      <c r="K802" s="570"/>
      <c r="O802" s="1223"/>
      <c r="Q802" s="1222"/>
    </row>
    <row r="803" spans="2:17" x14ac:dyDescent="0.4">
      <c r="B803" s="130"/>
      <c r="C803" s="611">
        <v>406</v>
      </c>
      <c r="D803" s="656" t="e">
        <f t="shared" ca="1" si="90"/>
        <v>#N/A</v>
      </c>
      <c r="E803" s="620"/>
      <c r="F803" s="620"/>
      <c r="G803" s="620"/>
      <c r="H803" s="620"/>
      <c r="I803" s="620"/>
      <c r="J803" s="620"/>
      <c r="K803" s="570"/>
      <c r="O803" s="1223"/>
      <c r="Q803" s="1222"/>
    </row>
    <row r="804" spans="2:17" x14ac:dyDescent="0.4">
      <c r="B804" s="130"/>
      <c r="C804" s="611">
        <v>407</v>
      </c>
      <c r="D804" s="656" t="e">
        <f t="shared" ca="1" si="90"/>
        <v>#N/A</v>
      </c>
      <c r="E804" s="620"/>
      <c r="F804" s="620"/>
      <c r="G804" s="620"/>
      <c r="H804" s="620"/>
      <c r="I804" s="620"/>
      <c r="J804" s="620"/>
      <c r="K804" s="570"/>
      <c r="O804" s="1223"/>
      <c r="Q804" s="1222"/>
    </row>
    <row r="805" spans="2:17" x14ac:dyDescent="0.4">
      <c r="B805" s="130"/>
      <c r="C805" s="611">
        <v>408</v>
      </c>
      <c r="D805" s="656" t="e">
        <f t="shared" ca="1" si="90"/>
        <v>#N/A</v>
      </c>
      <c r="E805" s="620"/>
      <c r="F805" s="620"/>
      <c r="G805" s="620"/>
      <c r="H805" s="620"/>
      <c r="I805" s="620"/>
      <c r="J805" s="620"/>
      <c r="K805" s="570"/>
      <c r="O805" s="1223"/>
      <c r="Q805" s="1222"/>
    </row>
    <row r="806" spans="2:17" x14ac:dyDescent="0.4">
      <c r="B806" s="130"/>
      <c r="C806" s="611">
        <v>409</v>
      </c>
      <c r="D806" s="656" t="e">
        <f t="shared" ca="1" si="90"/>
        <v>#N/A</v>
      </c>
      <c r="E806" s="620"/>
      <c r="F806" s="620"/>
      <c r="G806" s="620"/>
      <c r="H806" s="620"/>
      <c r="I806" s="620"/>
      <c r="J806" s="620"/>
      <c r="K806" s="570"/>
      <c r="O806" s="1223"/>
      <c r="Q806" s="1222"/>
    </row>
    <row r="807" spans="2:17" x14ac:dyDescent="0.4">
      <c r="B807" s="130"/>
      <c r="C807" s="611">
        <v>410</v>
      </c>
      <c r="D807" s="656" t="e">
        <f t="shared" ca="1" si="90"/>
        <v>#N/A</v>
      </c>
      <c r="E807" s="620"/>
      <c r="F807" s="620"/>
      <c r="G807" s="620"/>
      <c r="H807" s="620"/>
      <c r="I807" s="620"/>
      <c r="J807" s="620"/>
      <c r="K807" s="570"/>
      <c r="O807" s="1223"/>
      <c r="Q807" s="1222"/>
    </row>
    <row r="808" spans="2:17" x14ac:dyDescent="0.4">
      <c r="B808" s="130"/>
      <c r="C808" s="611">
        <v>411</v>
      </c>
      <c r="D808" s="656" t="e">
        <f t="shared" ca="1" si="90"/>
        <v>#N/A</v>
      </c>
      <c r="E808" s="620"/>
      <c r="F808" s="620"/>
      <c r="G808" s="620"/>
      <c r="H808" s="620"/>
      <c r="I808" s="620"/>
      <c r="J808" s="620"/>
      <c r="K808" s="570"/>
      <c r="O808" s="1223"/>
      <c r="Q808" s="1222"/>
    </row>
    <row r="809" spans="2:17" x14ac:dyDescent="0.4">
      <c r="B809" s="130"/>
      <c r="C809" s="611">
        <v>412</v>
      </c>
      <c r="D809" s="656" t="e">
        <f t="shared" ca="1" si="90"/>
        <v>#N/A</v>
      </c>
      <c r="E809" s="620"/>
      <c r="F809" s="620"/>
      <c r="G809" s="620"/>
      <c r="H809" s="620"/>
      <c r="I809" s="620"/>
      <c r="J809" s="620"/>
      <c r="K809" s="570"/>
      <c r="O809" s="1223"/>
      <c r="Q809" s="1222"/>
    </row>
    <row r="810" spans="2:17" x14ac:dyDescent="0.4">
      <c r="B810" s="130"/>
      <c r="C810" s="611">
        <v>413</v>
      </c>
      <c r="D810" s="656" t="e">
        <f t="shared" ca="1" si="90"/>
        <v>#N/A</v>
      </c>
      <c r="E810" s="620"/>
      <c r="F810" s="620"/>
      <c r="G810" s="620"/>
      <c r="H810" s="620"/>
      <c r="I810" s="620"/>
      <c r="J810" s="620"/>
      <c r="K810" s="570"/>
      <c r="O810" s="1223"/>
      <c r="Q810" s="1222"/>
    </row>
    <row r="811" spans="2:17" x14ac:dyDescent="0.4">
      <c r="B811" s="130"/>
      <c r="C811" s="611">
        <v>414</v>
      </c>
      <c r="D811" s="656" t="e">
        <f t="shared" ca="1" si="90"/>
        <v>#N/A</v>
      </c>
      <c r="E811" s="620"/>
      <c r="F811" s="620"/>
      <c r="G811" s="620"/>
      <c r="H811" s="620"/>
      <c r="I811" s="620"/>
      <c r="J811" s="620"/>
      <c r="K811" s="570"/>
      <c r="O811" s="1223"/>
      <c r="Q811" s="1222"/>
    </row>
    <row r="812" spans="2:17" x14ac:dyDescent="0.4">
      <c r="B812" s="130"/>
      <c r="C812" s="611">
        <v>415</v>
      </c>
      <c r="D812" s="656" t="e">
        <f t="shared" ca="1" si="90"/>
        <v>#N/A</v>
      </c>
      <c r="E812" s="620"/>
      <c r="F812" s="620"/>
      <c r="G812" s="620"/>
      <c r="H812" s="620"/>
      <c r="I812" s="620"/>
      <c r="J812" s="620"/>
      <c r="K812" s="570"/>
      <c r="O812" s="1223"/>
      <c r="Q812" s="1222"/>
    </row>
    <row r="813" spans="2:17" x14ac:dyDescent="0.4">
      <c r="B813" s="130"/>
      <c r="C813" s="611">
        <v>416</v>
      </c>
      <c r="D813" s="656" t="e">
        <f t="shared" ca="1" si="90"/>
        <v>#N/A</v>
      </c>
      <c r="E813" s="620"/>
      <c r="F813" s="620"/>
      <c r="G813" s="620"/>
      <c r="H813" s="620"/>
      <c r="I813" s="620"/>
      <c r="J813" s="620"/>
      <c r="K813" s="570"/>
      <c r="O813" s="1223"/>
      <c r="Q813" s="1222"/>
    </row>
    <row r="814" spans="2:17" x14ac:dyDescent="0.4">
      <c r="B814" s="130"/>
      <c r="C814" s="611">
        <v>417</v>
      </c>
      <c r="D814" s="656" t="e">
        <f t="shared" ca="1" si="90"/>
        <v>#N/A</v>
      </c>
      <c r="E814" s="620"/>
      <c r="F814" s="620"/>
      <c r="G814" s="620"/>
      <c r="H814" s="620"/>
      <c r="I814" s="620"/>
      <c r="J814" s="620"/>
      <c r="K814" s="570"/>
      <c r="O814" s="1223"/>
      <c r="Q814" s="1222"/>
    </row>
    <row r="815" spans="2:17" x14ac:dyDescent="0.4">
      <c r="B815" s="130"/>
      <c r="C815" s="611">
        <v>418</v>
      </c>
      <c r="D815" s="656" t="e">
        <f t="shared" ca="1" si="90"/>
        <v>#N/A</v>
      </c>
      <c r="E815" s="620"/>
      <c r="F815" s="620"/>
      <c r="G815" s="620"/>
      <c r="H815" s="620"/>
      <c r="I815" s="620"/>
      <c r="J815" s="620"/>
      <c r="K815" s="570"/>
      <c r="O815" s="1223"/>
      <c r="Q815" s="1222"/>
    </row>
    <row r="816" spans="2:17" x14ac:dyDescent="0.4">
      <c r="B816" s="130"/>
      <c r="C816" s="611">
        <v>419</v>
      </c>
      <c r="D816" s="656" t="e">
        <f t="shared" ca="1" si="90"/>
        <v>#N/A</v>
      </c>
      <c r="E816" s="620"/>
      <c r="F816" s="620"/>
      <c r="G816" s="620"/>
      <c r="H816" s="620"/>
      <c r="I816" s="620"/>
      <c r="J816" s="620"/>
      <c r="K816" s="570"/>
      <c r="O816" s="1223"/>
      <c r="Q816" s="1222"/>
    </row>
    <row r="817" spans="2:17" x14ac:dyDescent="0.4">
      <c r="B817" s="130"/>
      <c r="C817" s="611">
        <v>420</v>
      </c>
      <c r="D817" s="656" t="e">
        <f t="shared" ca="1" si="90"/>
        <v>#N/A</v>
      </c>
      <c r="E817" s="620"/>
      <c r="F817" s="620"/>
      <c r="G817" s="620"/>
      <c r="H817" s="620"/>
      <c r="I817" s="620"/>
      <c r="J817" s="620"/>
      <c r="K817" s="570"/>
      <c r="O817" s="1223"/>
      <c r="Q817" s="1222"/>
    </row>
    <row r="818" spans="2:17" x14ac:dyDescent="0.4">
      <c r="B818" s="130"/>
      <c r="C818" s="611">
        <v>421</v>
      </c>
      <c r="D818" s="656" t="e">
        <f t="shared" ca="1" si="90"/>
        <v>#N/A</v>
      </c>
      <c r="E818" s="620"/>
      <c r="F818" s="620"/>
      <c r="G818" s="620"/>
      <c r="H818" s="620"/>
      <c r="I818" s="620"/>
      <c r="J818" s="620"/>
      <c r="K818" s="570"/>
      <c r="O818" s="1223"/>
      <c r="Q818" s="1222"/>
    </row>
    <row r="819" spans="2:17" x14ac:dyDescent="0.4">
      <c r="B819" s="130"/>
      <c r="C819" s="611">
        <v>422</v>
      </c>
      <c r="D819" s="656" t="e">
        <f t="shared" ca="1" si="90"/>
        <v>#N/A</v>
      </c>
      <c r="E819" s="620"/>
      <c r="F819" s="620"/>
      <c r="G819" s="620"/>
      <c r="H819" s="620"/>
      <c r="I819" s="620"/>
      <c r="J819" s="620"/>
      <c r="K819" s="570"/>
      <c r="O819" s="1223"/>
      <c r="Q819" s="1222"/>
    </row>
    <row r="820" spans="2:17" x14ac:dyDescent="0.4">
      <c r="B820" s="130"/>
      <c r="C820" s="611">
        <v>423</v>
      </c>
      <c r="D820" s="656" t="e">
        <f t="shared" ca="1" si="90"/>
        <v>#N/A</v>
      </c>
      <c r="E820" s="620"/>
      <c r="F820" s="620"/>
      <c r="G820" s="620"/>
      <c r="H820" s="620"/>
      <c r="I820" s="620"/>
      <c r="J820" s="620"/>
      <c r="K820" s="570"/>
      <c r="O820" s="1223"/>
      <c r="Q820" s="1222"/>
    </row>
    <row r="821" spans="2:17" x14ac:dyDescent="0.4">
      <c r="B821" s="130"/>
      <c r="C821" s="611">
        <v>424</v>
      </c>
      <c r="D821" s="656" t="e">
        <f t="shared" ca="1" si="90"/>
        <v>#N/A</v>
      </c>
      <c r="E821" s="620"/>
      <c r="F821" s="620"/>
      <c r="G821" s="620"/>
      <c r="H821" s="620"/>
      <c r="I821" s="620"/>
      <c r="J821" s="620"/>
      <c r="K821" s="570"/>
      <c r="O821" s="1223"/>
      <c r="Q821" s="1222"/>
    </row>
    <row r="822" spans="2:17" x14ac:dyDescent="0.4">
      <c r="B822" s="130"/>
      <c r="C822" s="611">
        <v>425</v>
      </c>
      <c r="D822" s="656" t="e">
        <f t="shared" ca="1" si="90"/>
        <v>#N/A</v>
      </c>
      <c r="E822" s="620"/>
      <c r="F822" s="620"/>
      <c r="G822" s="620"/>
      <c r="H822" s="620"/>
      <c r="I822" s="620"/>
      <c r="J822" s="620"/>
      <c r="K822" s="570"/>
      <c r="O822" s="1223"/>
      <c r="Q822" s="1222"/>
    </row>
    <row r="823" spans="2:17" x14ac:dyDescent="0.4">
      <c r="B823" s="130"/>
      <c r="C823" s="611">
        <v>426</v>
      </c>
      <c r="D823" s="656" t="e">
        <f t="shared" ca="1" si="90"/>
        <v>#N/A</v>
      </c>
      <c r="E823" s="620"/>
      <c r="F823" s="620"/>
      <c r="G823" s="620"/>
      <c r="H823" s="620"/>
      <c r="I823" s="620"/>
      <c r="J823" s="620"/>
      <c r="K823" s="570"/>
      <c r="O823" s="1223"/>
      <c r="Q823" s="1222"/>
    </row>
    <row r="824" spans="2:17" x14ac:dyDescent="0.4">
      <c r="B824" s="130"/>
      <c r="C824" s="611">
        <v>427</v>
      </c>
      <c r="D824" s="656" t="e">
        <f t="shared" ca="1" si="90"/>
        <v>#N/A</v>
      </c>
      <c r="E824" s="620"/>
      <c r="F824" s="620"/>
      <c r="G824" s="620"/>
      <c r="H824" s="620"/>
      <c r="I824" s="620"/>
      <c r="J824" s="620"/>
      <c r="K824" s="570"/>
      <c r="O824" s="1223"/>
      <c r="Q824" s="1222"/>
    </row>
    <row r="825" spans="2:17" x14ac:dyDescent="0.4">
      <c r="B825" s="130"/>
      <c r="C825" s="611">
        <v>428</v>
      </c>
      <c r="D825" s="656" t="e">
        <f t="shared" ca="1" si="90"/>
        <v>#N/A</v>
      </c>
      <c r="E825" s="620"/>
      <c r="F825" s="620"/>
      <c r="G825" s="620"/>
      <c r="H825" s="620"/>
      <c r="I825" s="620"/>
      <c r="J825" s="620"/>
      <c r="K825" s="570"/>
      <c r="O825" s="1223"/>
      <c r="Q825" s="1222"/>
    </row>
    <row r="826" spans="2:17" x14ac:dyDescent="0.4">
      <c r="B826" s="130"/>
      <c r="C826" s="611">
        <v>429</v>
      </c>
      <c r="D826" s="656" t="e">
        <f t="shared" ca="1" si="90"/>
        <v>#N/A</v>
      </c>
      <c r="E826" s="620"/>
      <c r="F826" s="620"/>
      <c r="G826" s="620"/>
      <c r="H826" s="620"/>
      <c r="I826" s="620"/>
      <c r="J826" s="620"/>
      <c r="K826" s="570"/>
      <c r="O826" s="1223"/>
      <c r="Q826" s="1222"/>
    </row>
    <row r="827" spans="2:17" x14ac:dyDescent="0.4">
      <c r="B827" s="130"/>
      <c r="C827" s="611">
        <v>430</v>
      </c>
      <c r="D827" s="656" t="e">
        <f t="shared" ca="1" si="90"/>
        <v>#N/A</v>
      </c>
      <c r="E827" s="620"/>
      <c r="F827" s="620"/>
      <c r="G827" s="620"/>
      <c r="H827" s="620"/>
      <c r="I827" s="620"/>
      <c r="J827" s="620"/>
      <c r="K827" s="570"/>
      <c r="O827" s="1223"/>
      <c r="Q827" s="1222"/>
    </row>
    <row r="828" spans="2:17" x14ac:dyDescent="0.4">
      <c r="B828" s="130"/>
      <c r="C828" s="611">
        <v>431</v>
      </c>
      <c r="D828" s="656" t="e">
        <f t="shared" ca="1" si="90"/>
        <v>#N/A</v>
      </c>
      <c r="E828" s="620"/>
      <c r="F828" s="620"/>
      <c r="G828" s="620"/>
      <c r="H828" s="620"/>
      <c r="I828" s="620"/>
      <c r="J828" s="620"/>
      <c r="K828" s="570"/>
      <c r="O828" s="1223"/>
      <c r="Q828" s="1222"/>
    </row>
    <row r="829" spans="2:17" x14ac:dyDescent="0.4">
      <c r="B829" s="130"/>
      <c r="C829" s="611">
        <v>432</v>
      </c>
      <c r="D829" s="656" t="e">
        <f t="shared" ca="1" si="90"/>
        <v>#N/A</v>
      </c>
      <c r="E829" s="620"/>
      <c r="F829" s="620"/>
      <c r="G829" s="620"/>
      <c r="H829" s="620"/>
      <c r="I829" s="620"/>
      <c r="J829" s="620"/>
      <c r="K829" s="570"/>
      <c r="O829" s="1223"/>
      <c r="Q829" s="1222"/>
    </row>
    <row r="830" spans="2:17" x14ac:dyDescent="0.4">
      <c r="B830" s="130"/>
      <c r="C830" s="611">
        <v>433</v>
      </c>
      <c r="D830" s="656" t="e">
        <f t="shared" ca="1" si="90"/>
        <v>#N/A</v>
      </c>
      <c r="E830" s="620"/>
      <c r="F830" s="620"/>
      <c r="G830" s="620"/>
      <c r="H830" s="620"/>
      <c r="I830" s="620"/>
      <c r="J830" s="620"/>
      <c r="K830" s="570"/>
      <c r="O830" s="1223"/>
      <c r="Q830" s="1222"/>
    </row>
    <row r="831" spans="2:17" x14ac:dyDescent="0.4">
      <c r="B831" s="130"/>
      <c r="C831" s="611">
        <v>434</v>
      </c>
      <c r="D831" s="656" t="e">
        <f t="shared" ca="1" si="90"/>
        <v>#N/A</v>
      </c>
      <c r="E831" s="620"/>
      <c r="F831" s="620"/>
      <c r="G831" s="620"/>
      <c r="H831" s="620"/>
      <c r="I831" s="620"/>
      <c r="J831" s="620"/>
      <c r="K831" s="570"/>
      <c r="O831" s="1223"/>
      <c r="Q831" s="1222"/>
    </row>
    <row r="832" spans="2:17" x14ac:dyDescent="0.4">
      <c r="B832" s="130"/>
      <c r="C832" s="611">
        <v>435</v>
      </c>
      <c r="D832" s="656" t="e">
        <f t="shared" ca="1" si="90"/>
        <v>#N/A</v>
      </c>
      <c r="E832" s="620"/>
      <c r="F832" s="620"/>
      <c r="G832" s="620"/>
      <c r="H832" s="620"/>
      <c r="I832" s="620"/>
      <c r="J832" s="620"/>
      <c r="K832" s="570"/>
      <c r="O832" s="1223"/>
      <c r="Q832" s="1222"/>
    </row>
    <row r="833" spans="2:17" x14ac:dyDescent="0.4">
      <c r="B833" s="130"/>
      <c r="C833" s="611">
        <v>436</v>
      </c>
      <c r="D833" s="656" t="e">
        <f t="shared" ca="1" si="90"/>
        <v>#N/A</v>
      </c>
      <c r="E833" s="620"/>
      <c r="F833" s="620"/>
      <c r="G833" s="620"/>
      <c r="H833" s="620"/>
      <c r="I833" s="620"/>
      <c r="J833" s="620"/>
      <c r="K833" s="570"/>
      <c r="O833" s="1223"/>
      <c r="Q833" s="1222"/>
    </row>
    <row r="834" spans="2:17" x14ac:dyDescent="0.4">
      <c r="B834" s="130"/>
      <c r="C834" s="611">
        <v>437</v>
      </c>
      <c r="D834" s="656" t="e">
        <f t="shared" ca="1" si="90"/>
        <v>#N/A</v>
      </c>
      <c r="E834" s="620"/>
      <c r="F834" s="620"/>
      <c r="G834" s="620"/>
      <c r="H834" s="620"/>
      <c r="I834" s="620"/>
      <c r="J834" s="620"/>
      <c r="K834" s="570"/>
      <c r="O834" s="1223"/>
      <c r="Q834" s="1222"/>
    </row>
    <row r="835" spans="2:17" x14ac:dyDescent="0.4">
      <c r="B835" s="130"/>
      <c r="C835" s="611">
        <v>438</v>
      </c>
      <c r="D835" s="656" t="e">
        <f t="shared" ca="1" si="90"/>
        <v>#N/A</v>
      </c>
      <c r="E835" s="620"/>
      <c r="F835" s="620"/>
      <c r="G835" s="620"/>
      <c r="H835" s="620"/>
      <c r="I835" s="620"/>
      <c r="J835" s="620"/>
      <c r="K835" s="570"/>
      <c r="O835" s="1223"/>
      <c r="Q835" s="1222"/>
    </row>
    <row r="836" spans="2:17" x14ac:dyDescent="0.4">
      <c r="B836" s="130"/>
      <c r="C836" s="611">
        <v>439</v>
      </c>
      <c r="D836" s="656" t="e">
        <f t="shared" ca="1" si="90"/>
        <v>#N/A</v>
      </c>
      <c r="E836" s="620"/>
      <c r="F836" s="620"/>
      <c r="G836" s="620"/>
      <c r="H836" s="620"/>
      <c r="I836" s="620"/>
      <c r="J836" s="620"/>
      <c r="K836" s="570"/>
      <c r="O836" s="1223"/>
      <c r="Q836" s="1222"/>
    </row>
    <row r="837" spans="2:17" x14ac:dyDescent="0.4">
      <c r="B837" s="130"/>
      <c r="C837" s="611">
        <v>440</v>
      </c>
      <c r="D837" s="656" t="e">
        <f t="shared" ca="1" si="90"/>
        <v>#N/A</v>
      </c>
      <c r="E837" s="620"/>
      <c r="F837" s="620"/>
      <c r="G837" s="620"/>
      <c r="H837" s="620"/>
      <c r="I837" s="620"/>
      <c r="J837" s="620"/>
      <c r="K837" s="570"/>
      <c r="O837" s="1223"/>
      <c r="Q837" s="1222"/>
    </row>
    <row r="838" spans="2:17" x14ac:dyDescent="0.4">
      <c r="B838" s="130"/>
      <c r="C838" s="611">
        <v>441</v>
      </c>
      <c r="D838" s="656" t="e">
        <f t="shared" ca="1" si="90"/>
        <v>#N/A</v>
      </c>
      <c r="E838" s="620"/>
      <c r="F838" s="620"/>
      <c r="G838" s="620"/>
      <c r="H838" s="620"/>
      <c r="I838" s="620"/>
      <c r="J838" s="620"/>
      <c r="K838" s="570"/>
      <c r="O838" s="1223"/>
      <c r="Q838" s="1222"/>
    </row>
    <row r="839" spans="2:17" x14ac:dyDescent="0.4">
      <c r="B839" s="130"/>
      <c r="C839" s="611">
        <v>442</v>
      </c>
      <c r="D839" s="656" t="e">
        <f t="shared" ca="1" si="90"/>
        <v>#N/A</v>
      </c>
      <c r="E839" s="620"/>
      <c r="F839" s="620"/>
      <c r="G839" s="620"/>
      <c r="H839" s="620"/>
      <c r="I839" s="620"/>
      <c r="J839" s="620"/>
      <c r="K839" s="570"/>
      <c r="O839" s="1223"/>
      <c r="Q839" s="1222"/>
    </row>
    <row r="840" spans="2:17" x14ac:dyDescent="0.4">
      <c r="B840" s="130"/>
      <c r="C840" s="611">
        <v>443</v>
      </c>
      <c r="D840" s="656" t="e">
        <f t="shared" ca="1" si="90"/>
        <v>#N/A</v>
      </c>
      <c r="E840" s="620"/>
      <c r="F840" s="620"/>
      <c r="G840" s="620"/>
      <c r="H840" s="620"/>
      <c r="I840" s="620"/>
      <c r="J840" s="620"/>
      <c r="K840" s="570"/>
      <c r="O840" s="1223"/>
      <c r="Q840" s="1222"/>
    </row>
    <row r="841" spans="2:17" x14ac:dyDescent="0.4">
      <c r="B841" s="130"/>
      <c r="C841" s="611">
        <v>444</v>
      </c>
      <c r="D841" s="656" t="e">
        <f t="shared" ca="1" si="90"/>
        <v>#N/A</v>
      </c>
      <c r="E841" s="620"/>
      <c r="F841" s="620"/>
      <c r="G841" s="620"/>
      <c r="H841" s="620"/>
      <c r="I841" s="620"/>
      <c r="J841" s="620"/>
      <c r="K841" s="570"/>
      <c r="O841" s="1223"/>
      <c r="Q841" s="1222"/>
    </row>
    <row r="842" spans="2:17" x14ac:dyDescent="0.4">
      <c r="B842" s="130"/>
      <c r="C842" s="611">
        <v>445</v>
      </c>
      <c r="D842" s="656" t="e">
        <f t="shared" ca="1" si="90"/>
        <v>#N/A</v>
      </c>
      <c r="E842" s="620"/>
      <c r="F842" s="620"/>
      <c r="G842" s="620"/>
      <c r="H842" s="620"/>
      <c r="I842" s="620"/>
      <c r="J842" s="620"/>
      <c r="K842" s="570"/>
      <c r="O842" s="1223"/>
      <c r="Q842" s="1222"/>
    </row>
    <row r="843" spans="2:17" x14ac:dyDescent="0.4">
      <c r="B843" s="130"/>
      <c r="C843" s="611">
        <v>446</v>
      </c>
      <c r="D843" s="656" t="e">
        <f t="shared" ca="1" si="90"/>
        <v>#N/A</v>
      </c>
      <c r="E843" s="620"/>
      <c r="F843" s="620"/>
      <c r="G843" s="620"/>
      <c r="H843" s="620"/>
      <c r="I843" s="620"/>
      <c r="J843" s="620"/>
      <c r="K843" s="570"/>
      <c r="O843" s="1223"/>
      <c r="Q843" s="1222"/>
    </row>
    <row r="844" spans="2:17" x14ac:dyDescent="0.4">
      <c r="B844" s="130"/>
      <c r="C844" s="611">
        <v>447</v>
      </c>
      <c r="D844" s="656" t="e">
        <f t="shared" ca="1" si="90"/>
        <v>#N/A</v>
      </c>
      <c r="E844" s="620"/>
      <c r="F844" s="620"/>
      <c r="G844" s="620"/>
      <c r="H844" s="620"/>
      <c r="I844" s="620"/>
      <c r="J844" s="620"/>
      <c r="K844" s="570"/>
      <c r="O844" s="1223"/>
      <c r="Q844" s="1222"/>
    </row>
    <row r="845" spans="2:17" x14ac:dyDescent="0.4">
      <c r="B845" s="130"/>
      <c r="C845" s="611">
        <v>448</v>
      </c>
      <c r="D845" s="656" t="e">
        <f t="shared" ref="D845:D908" ca="1" si="91">$C$376*C845</f>
        <v>#N/A</v>
      </c>
      <c r="E845" s="620"/>
      <c r="F845" s="620"/>
      <c r="G845" s="620"/>
      <c r="H845" s="620"/>
      <c r="I845" s="620"/>
      <c r="J845" s="620"/>
      <c r="K845" s="570"/>
      <c r="O845" s="1223"/>
      <c r="Q845" s="1222"/>
    </row>
    <row r="846" spans="2:17" x14ac:dyDescent="0.4">
      <c r="B846" s="130"/>
      <c r="C846" s="611">
        <v>449</v>
      </c>
      <c r="D846" s="656" t="e">
        <f t="shared" ca="1" si="91"/>
        <v>#N/A</v>
      </c>
      <c r="E846" s="620"/>
      <c r="F846" s="620"/>
      <c r="G846" s="620"/>
      <c r="H846" s="620"/>
      <c r="I846" s="620"/>
      <c r="J846" s="620"/>
      <c r="K846" s="570"/>
      <c r="O846" s="1223"/>
      <c r="Q846" s="1222"/>
    </row>
    <row r="847" spans="2:17" x14ac:dyDescent="0.4">
      <c r="B847" s="130"/>
      <c r="C847" s="611">
        <v>450</v>
      </c>
      <c r="D847" s="656" t="e">
        <f t="shared" ca="1" si="91"/>
        <v>#N/A</v>
      </c>
      <c r="E847" s="620"/>
      <c r="F847" s="620"/>
      <c r="G847" s="620"/>
      <c r="H847" s="620"/>
      <c r="I847" s="620"/>
      <c r="J847" s="620"/>
      <c r="K847" s="570"/>
      <c r="O847" s="1223"/>
      <c r="Q847" s="1222"/>
    </row>
    <row r="848" spans="2:17" x14ac:dyDescent="0.4">
      <c r="B848" s="130"/>
      <c r="C848" s="611">
        <v>451</v>
      </c>
      <c r="D848" s="656" t="e">
        <f t="shared" ca="1" si="91"/>
        <v>#N/A</v>
      </c>
      <c r="E848" s="620"/>
      <c r="F848" s="620"/>
      <c r="G848" s="620"/>
      <c r="H848" s="620"/>
      <c r="I848" s="620"/>
      <c r="J848" s="620"/>
      <c r="K848" s="570"/>
      <c r="O848" s="1223"/>
      <c r="Q848" s="1222"/>
    </row>
    <row r="849" spans="2:17" x14ac:dyDescent="0.4">
      <c r="B849" s="130"/>
      <c r="C849" s="611">
        <v>452</v>
      </c>
      <c r="D849" s="656" t="e">
        <f t="shared" ca="1" si="91"/>
        <v>#N/A</v>
      </c>
      <c r="E849" s="620"/>
      <c r="F849" s="620"/>
      <c r="G849" s="620"/>
      <c r="H849" s="620"/>
      <c r="I849" s="620"/>
      <c r="J849" s="620"/>
      <c r="K849" s="570"/>
      <c r="O849" s="1223"/>
      <c r="Q849" s="1222"/>
    </row>
    <row r="850" spans="2:17" x14ac:dyDescent="0.4">
      <c r="B850" s="130"/>
      <c r="C850" s="611">
        <v>453</v>
      </c>
      <c r="D850" s="656" t="e">
        <f t="shared" ca="1" si="91"/>
        <v>#N/A</v>
      </c>
      <c r="E850" s="620"/>
      <c r="F850" s="620"/>
      <c r="G850" s="620"/>
      <c r="H850" s="620"/>
      <c r="I850" s="620"/>
      <c r="J850" s="620"/>
      <c r="K850" s="570"/>
      <c r="O850" s="1223"/>
      <c r="Q850" s="1222"/>
    </row>
    <row r="851" spans="2:17" x14ac:dyDescent="0.4">
      <c r="B851" s="130"/>
      <c r="C851" s="611">
        <v>454</v>
      </c>
      <c r="D851" s="656" t="e">
        <f t="shared" ca="1" si="91"/>
        <v>#N/A</v>
      </c>
      <c r="E851" s="620"/>
      <c r="F851" s="620"/>
      <c r="G851" s="620"/>
      <c r="H851" s="620"/>
      <c r="I851" s="620"/>
      <c r="J851" s="620"/>
      <c r="K851" s="570"/>
      <c r="O851" s="1223"/>
      <c r="Q851" s="1222"/>
    </row>
    <row r="852" spans="2:17" x14ac:dyDescent="0.4">
      <c r="B852" s="130"/>
      <c r="C852" s="611">
        <v>455</v>
      </c>
      <c r="D852" s="656" t="e">
        <f t="shared" ca="1" si="91"/>
        <v>#N/A</v>
      </c>
      <c r="E852" s="620"/>
      <c r="F852" s="620"/>
      <c r="G852" s="620"/>
      <c r="H852" s="620"/>
      <c r="I852" s="620"/>
      <c r="J852" s="620"/>
      <c r="K852" s="570"/>
      <c r="O852" s="1223"/>
      <c r="Q852" s="1222"/>
    </row>
    <row r="853" spans="2:17" x14ac:dyDescent="0.4">
      <c r="B853" s="130"/>
      <c r="C853" s="611">
        <v>456</v>
      </c>
      <c r="D853" s="656" t="e">
        <f t="shared" ca="1" si="91"/>
        <v>#N/A</v>
      </c>
      <c r="E853" s="620"/>
      <c r="F853" s="620"/>
      <c r="G853" s="620"/>
      <c r="H853" s="620"/>
      <c r="I853" s="620"/>
      <c r="J853" s="620"/>
      <c r="K853" s="570"/>
      <c r="O853" s="1223"/>
      <c r="Q853" s="1222"/>
    </row>
    <row r="854" spans="2:17" x14ac:dyDescent="0.4">
      <c r="B854" s="130"/>
      <c r="C854" s="611">
        <v>457</v>
      </c>
      <c r="D854" s="656" t="e">
        <f t="shared" ca="1" si="91"/>
        <v>#N/A</v>
      </c>
      <c r="E854" s="620"/>
      <c r="F854" s="620"/>
      <c r="G854" s="620"/>
      <c r="H854" s="620"/>
      <c r="I854" s="620"/>
      <c r="J854" s="620"/>
      <c r="K854" s="570"/>
      <c r="O854" s="1223"/>
      <c r="Q854" s="1222"/>
    </row>
    <row r="855" spans="2:17" x14ac:dyDescent="0.4">
      <c r="B855" s="130"/>
      <c r="C855" s="611">
        <v>458</v>
      </c>
      <c r="D855" s="656" t="e">
        <f t="shared" ca="1" si="91"/>
        <v>#N/A</v>
      </c>
      <c r="E855" s="620"/>
      <c r="F855" s="620"/>
      <c r="G855" s="620"/>
      <c r="H855" s="620"/>
      <c r="I855" s="620"/>
      <c r="J855" s="620"/>
      <c r="K855" s="570"/>
      <c r="O855" s="1223"/>
      <c r="Q855" s="1222"/>
    </row>
    <row r="856" spans="2:17" x14ac:dyDescent="0.4">
      <c r="B856" s="130"/>
      <c r="C856" s="611">
        <v>459</v>
      </c>
      <c r="D856" s="656" t="e">
        <f t="shared" ca="1" si="91"/>
        <v>#N/A</v>
      </c>
      <c r="E856" s="620"/>
      <c r="F856" s="620"/>
      <c r="G856" s="620"/>
      <c r="H856" s="620"/>
      <c r="I856" s="620"/>
      <c r="J856" s="620"/>
      <c r="K856" s="570"/>
      <c r="O856" s="1223"/>
      <c r="Q856" s="1222"/>
    </row>
    <row r="857" spans="2:17" x14ac:dyDescent="0.4">
      <c r="B857" s="130"/>
      <c r="C857" s="611">
        <v>460</v>
      </c>
      <c r="D857" s="656" t="e">
        <f t="shared" ca="1" si="91"/>
        <v>#N/A</v>
      </c>
      <c r="E857" s="620"/>
      <c r="F857" s="620"/>
      <c r="G857" s="620"/>
      <c r="H857" s="620"/>
      <c r="I857" s="620"/>
      <c r="J857" s="620"/>
      <c r="K857" s="570"/>
      <c r="O857" s="1223"/>
      <c r="Q857" s="1222"/>
    </row>
    <row r="858" spans="2:17" x14ac:dyDescent="0.4">
      <c r="B858" s="130"/>
      <c r="C858" s="611">
        <v>461</v>
      </c>
      <c r="D858" s="656" t="e">
        <f t="shared" ca="1" si="91"/>
        <v>#N/A</v>
      </c>
      <c r="E858" s="620"/>
      <c r="F858" s="620"/>
      <c r="G858" s="620"/>
      <c r="H858" s="620"/>
      <c r="I858" s="620"/>
      <c r="J858" s="620"/>
      <c r="K858" s="570"/>
      <c r="O858" s="1223"/>
      <c r="Q858" s="1222"/>
    </row>
    <row r="859" spans="2:17" x14ac:dyDescent="0.4">
      <c r="B859" s="130"/>
      <c r="C859" s="611">
        <v>462</v>
      </c>
      <c r="D859" s="656" t="e">
        <f t="shared" ca="1" si="91"/>
        <v>#N/A</v>
      </c>
      <c r="E859" s="620"/>
      <c r="F859" s="620"/>
      <c r="G859" s="620"/>
      <c r="H859" s="620"/>
      <c r="I859" s="620"/>
      <c r="J859" s="620"/>
      <c r="K859" s="570"/>
      <c r="O859" s="1223"/>
      <c r="Q859" s="1222"/>
    </row>
    <row r="860" spans="2:17" x14ac:dyDescent="0.4">
      <c r="B860" s="130"/>
      <c r="C860" s="611">
        <v>463</v>
      </c>
      <c r="D860" s="656" t="e">
        <f t="shared" ca="1" si="91"/>
        <v>#N/A</v>
      </c>
      <c r="E860" s="620"/>
      <c r="F860" s="620"/>
      <c r="G860" s="620"/>
      <c r="H860" s="620"/>
      <c r="I860" s="620"/>
      <c r="J860" s="620"/>
      <c r="K860" s="570"/>
      <c r="O860" s="1223"/>
      <c r="Q860" s="1222"/>
    </row>
    <row r="861" spans="2:17" x14ac:dyDescent="0.4">
      <c r="B861" s="130"/>
      <c r="C861" s="611">
        <v>464</v>
      </c>
      <c r="D861" s="656" t="e">
        <f t="shared" ca="1" si="91"/>
        <v>#N/A</v>
      </c>
      <c r="E861" s="620"/>
      <c r="F861" s="620"/>
      <c r="G861" s="620"/>
      <c r="H861" s="620"/>
      <c r="I861" s="620"/>
      <c r="J861" s="620"/>
      <c r="K861" s="570"/>
      <c r="O861" s="1223"/>
      <c r="Q861" s="1222"/>
    </row>
    <row r="862" spans="2:17" x14ac:dyDescent="0.4">
      <c r="B862" s="130"/>
      <c r="C862" s="611">
        <v>465</v>
      </c>
      <c r="D862" s="656" t="e">
        <f t="shared" ca="1" si="91"/>
        <v>#N/A</v>
      </c>
      <c r="E862" s="620"/>
      <c r="F862" s="620"/>
      <c r="G862" s="620"/>
      <c r="H862" s="620"/>
      <c r="I862" s="620"/>
      <c r="J862" s="620"/>
      <c r="K862" s="570"/>
      <c r="O862" s="1223"/>
      <c r="Q862" s="1222"/>
    </row>
    <row r="863" spans="2:17" x14ac:dyDescent="0.4">
      <c r="B863" s="130"/>
      <c r="C863" s="611">
        <v>466</v>
      </c>
      <c r="D863" s="656" t="e">
        <f t="shared" ca="1" si="91"/>
        <v>#N/A</v>
      </c>
      <c r="E863" s="620"/>
      <c r="F863" s="620"/>
      <c r="G863" s="620"/>
      <c r="H863" s="620"/>
      <c r="I863" s="620"/>
      <c r="J863" s="620"/>
      <c r="K863" s="570"/>
      <c r="O863" s="1223"/>
      <c r="Q863" s="1222"/>
    </row>
    <row r="864" spans="2:17" x14ac:dyDescent="0.4">
      <c r="B864" s="130"/>
      <c r="C864" s="611">
        <v>467</v>
      </c>
      <c r="D864" s="656" t="e">
        <f t="shared" ca="1" si="91"/>
        <v>#N/A</v>
      </c>
      <c r="E864" s="620"/>
      <c r="F864" s="620"/>
      <c r="G864" s="620"/>
      <c r="H864" s="620"/>
      <c r="I864" s="620"/>
      <c r="J864" s="620"/>
      <c r="K864" s="570"/>
      <c r="O864" s="1223"/>
      <c r="Q864" s="1222"/>
    </row>
    <row r="865" spans="2:17" x14ac:dyDescent="0.4">
      <c r="B865" s="130"/>
      <c r="C865" s="611">
        <v>468</v>
      </c>
      <c r="D865" s="656" t="e">
        <f t="shared" ca="1" si="91"/>
        <v>#N/A</v>
      </c>
      <c r="E865" s="620"/>
      <c r="F865" s="620"/>
      <c r="G865" s="620"/>
      <c r="H865" s="620"/>
      <c r="I865" s="620"/>
      <c r="J865" s="620"/>
      <c r="K865" s="570"/>
      <c r="O865" s="1223"/>
      <c r="Q865" s="1222"/>
    </row>
    <row r="866" spans="2:17" x14ac:dyDescent="0.4">
      <c r="B866" s="130"/>
      <c r="C866" s="611">
        <v>469</v>
      </c>
      <c r="D866" s="656" t="e">
        <f t="shared" ca="1" si="91"/>
        <v>#N/A</v>
      </c>
      <c r="E866" s="620"/>
      <c r="F866" s="620"/>
      <c r="G866" s="620"/>
      <c r="H866" s="620"/>
      <c r="I866" s="620"/>
      <c r="J866" s="620"/>
      <c r="K866" s="570"/>
      <c r="O866" s="1223"/>
      <c r="Q866" s="1222"/>
    </row>
    <row r="867" spans="2:17" x14ac:dyDescent="0.4">
      <c r="B867" s="130"/>
      <c r="C867" s="611">
        <v>470</v>
      </c>
      <c r="D867" s="656" t="e">
        <f t="shared" ca="1" si="91"/>
        <v>#N/A</v>
      </c>
      <c r="E867" s="620"/>
      <c r="F867" s="620"/>
      <c r="G867" s="620"/>
      <c r="H867" s="620"/>
      <c r="I867" s="620"/>
      <c r="J867" s="620"/>
      <c r="K867" s="570"/>
      <c r="O867" s="1223"/>
      <c r="Q867" s="1222"/>
    </row>
    <row r="868" spans="2:17" x14ac:dyDescent="0.4">
      <c r="B868" s="130"/>
      <c r="C868" s="611">
        <v>471</v>
      </c>
      <c r="D868" s="656" t="e">
        <f t="shared" ca="1" si="91"/>
        <v>#N/A</v>
      </c>
      <c r="E868" s="620"/>
      <c r="F868" s="620"/>
      <c r="G868" s="620"/>
      <c r="H868" s="620"/>
      <c r="I868" s="620"/>
      <c r="J868" s="620"/>
      <c r="K868" s="570"/>
      <c r="O868" s="1223"/>
      <c r="Q868" s="1222"/>
    </row>
    <row r="869" spans="2:17" x14ac:dyDescent="0.4">
      <c r="B869" s="130"/>
      <c r="C869" s="611">
        <v>472</v>
      </c>
      <c r="D869" s="656" t="e">
        <f t="shared" ca="1" si="91"/>
        <v>#N/A</v>
      </c>
      <c r="E869" s="620"/>
      <c r="F869" s="620"/>
      <c r="G869" s="620"/>
      <c r="H869" s="620"/>
      <c r="I869" s="620"/>
      <c r="J869" s="620"/>
      <c r="K869" s="570"/>
      <c r="O869" s="1223"/>
      <c r="Q869" s="1222"/>
    </row>
    <row r="870" spans="2:17" x14ac:dyDescent="0.4">
      <c r="B870" s="130"/>
      <c r="C870" s="611">
        <v>473</v>
      </c>
      <c r="D870" s="656" t="e">
        <f t="shared" ca="1" si="91"/>
        <v>#N/A</v>
      </c>
      <c r="E870" s="620"/>
      <c r="F870" s="620"/>
      <c r="G870" s="620"/>
      <c r="H870" s="620"/>
      <c r="I870" s="620"/>
      <c r="J870" s="620"/>
      <c r="K870" s="570"/>
      <c r="O870" s="1223"/>
      <c r="Q870" s="1222"/>
    </row>
    <row r="871" spans="2:17" x14ac:dyDescent="0.4">
      <c r="B871" s="130"/>
      <c r="C871" s="611">
        <v>474</v>
      </c>
      <c r="D871" s="656" t="e">
        <f t="shared" ca="1" si="91"/>
        <v>#N/A</v>
      </c>
      <c r="E871" s="620"/>
      <c r="F871" s="620"/>
      <c r="G871" s="620"/>
      <c r="H871" s="620"/>
      <c r="I871" s="620"/>
      <c r="J871" s="620"/>
      <c r="K871" s="570"/>
      <c r="O871" s="1223"/>
      <c r="Q871" s="1222"/>
    </row>
    <row r="872" spans="2:17" x14ac:dyDescent="0.4">
      <c r="B872" s="130"/>
      <c r="C872" s="611">
        <v>475</v>
      </c>
      <c r="D872" s="656" t="e">
        <f t="shared" ca="1" si="91"/>
        <v>#N/A</v>
      </c>
      <c r="E872" s="620"/>
      <c r="F872" s="620"/>
      <c r="G872" s="620"/>
      <c r="H872" s="620"/>
      <c r="I872" s="620"/>
      <c r="J872" s="620"/>
      <c r="K872" s="570"/>
      <c r="O872" s="1223"/>
      <c r="Q872" s="1222"/>
    </row>
    <row r="873" spans="2:17" x14ac:dyDescent="0.4">
      <c r="B873" s="130"/>
      <c r="C873" s="611">
        <v>476</v>
      </c>
      <c r="D873" s="656" t="e">
        <f t="shared" ca="1" si="91"/>
        <v>#N/A</v>
      </c>
      <c r="E873" s="620"/>
      <c r="F873" s="620"/>
      <c r="G873" s="620"/>
      <c r="H873" s="620"/>
      <c r="I873" s="620"/>
      <c r="J873" s="620"/>
      <c r="K873" s="570"/>
      <c r="O873" s="1223"/>
      <c r="Q873" s="1222"/>
    </row>
    <row r="874" spans="2:17" x14ac:dyDescent="0.4">
      <c r="B874" s="130"/>
      <c r="C874" s="611">
        <v>477</v>
      </c>
      <c r="D874" s="656" t="e">
        <f t="shared" ca="1" si="91"/>
        <v>#N/A</v>
      </c>
      <c r="E874" s="620"/>
      <c r="F874" s="620"/>
      <c r="G874" s="620"/>
      <c r="H874" s="620"/>
      <c r="I874" s="620"/>
      <c r="J874" s="620"/>
      <c r="K874" s="570"/>
      <c r="O874" s="1223"/>
      <c r="Q874" s="1222"/>
    </row>
    <row r="875" spans="2:17" x14ac:dyDescent="0.4">
      <c r="B875" s="130"/>
      <c r="C875" s="611">
        <v>478</v>
      </c>
      <c r="D875" s="656" t="e">
        <f t="shared" ca="1" si="91"/>
        <v>#N/A</v>
      </c>
      <c r="E875" s="620"/>
      <c r="F875" s="620"/>
      <c r="G875" s="620"/>
      <c r="H875" s="620"/>
      <c r="I875" s="620"/>
      <c r="J875" s="620"/>
      <c r="K875" s="570"/>
      <c r="O875" s="1223"/>
      <c r="Q875" s="1222"/>
    </row>
    <row r="876" spans="2:17" x14ac:dyDescent="0.4">
      <c r="B876" s="130"/>
      <c r="C876" s="611">
        <v>479</v>
      </c>
      <c r="D876" s="656" t="e">
        <f t="shared" ca="1" si="91"/>
        <v>#N/A</v>
      </c>
      <c r="E876" s="620"/>
      <c r="F876" s="620"/>
      <c r="G876" s="620"/>
      <c r="H876" s="620"/>
      <c r="I876" s="620"/>
      <c r="J876" s="620"/>
      <c r="K876" s="570"/>
      <c r="O876" s="1223"/>
      <c r="Q876" s="1222"/>
    </row>
    <row r="877" spans="2:17" x14ac:dyDescent="0.4">
      <c r="B877" s="130"/>
      <c r="C877" s="611">
        <v>480</v>
      </c>
      <c r="D877" s="656" t="e">
        <f t="shared" ca="1" si="91"/>
        <v>#N/A</v>
      </c>
      <c r="E877" s="620"/>
      <c r="F877" s="620"/>
      <c r="G877" s="620"/>
      <c r="H877" s="620"/>
      <c r="I877" s="620"/>
      <c r="J877" s="620"/>
      <c r="K877" s="570"/>
      <c r="O877" s="1223"/>
      <c r="Q877" s="1222"/>
    </row>
    <row r="878" spans="2:17" x14ac:dyDescent="0.4">
      <c r="B878" s="130"/>
      <c r="C878" s="611">
        <v>481</v>
      </c>
      <c r="D878" s="656" t="e">
        <f t="shared" ca="1" si="91"/>
        <v>#N/A</v>
      </c>
      <c r="E878" s="620"/>
      <c r="F878" s="620"/>
      <c r="G878" s="620"/>
      <c r="H878" s="620"/>
      <c r="I878" s="620"/>
      <c r="J878" s="620"/>
      <c r="K878" s="570"/>
      <c r="O878" s="1223"/>
      <c r="Q878" s="1222"/>
    </row>
    <row r="879" spans="2:17" x14ac:dyDescent="0.4">
      <c r="B879" s="130"/>
      <c r="C879" s="611">
        <v>482</v>
      </c>
      <c r="D879" s="656" t="e">
        <f t="shared" ca="1" si="91"/>
        <v>#N/A</v>
      </c>
      <c r="E879" s="620"/>
      <c r="F879" s="620"/>
      <c r="G879" s="620"/>
      <c r="H879" s="620"/>
      <c r="I879" s="620"/>
      <c r="J879" s="620"/>
      <c r="K879" s="570"/>
      <c r="O879" s="1223"/>
      <c r="Q879" s="1222"/>
    </row>
    <row r="880" spans="2:17" x14ac:dyDescent="0.4">
      <c r="B880" s="130"/>
      <c r="C880" s="611">
        <v>483</v>
      </c>
      <c r="D880" s="656" t="e">
        <f t="shared" ca="1" si="91"/>
        <v>#N/A</v>
      </c>
      <c r="E880" s="620"/>
      <c r="F880" s="620"/>
      <c r="G880" s="620"/>
      <c r="H880" s="620"/>
      <c r="I880" s="620"/>
      <c r="J880" s="620"/>
      <c r="K880" s="570"/>
      <c r="O880" s="1223"/>
      <c r="Q880" s="1222"/>
    </row>
    <row r="881" spans="2:17" x14ac:dyDescent="0.4">
      <c r="B881" s="130"/>
      <c r="C881" s="611">
        <v>484</v>
      </c>
      <c r="D881" s="656" t="e">
        <f t="shared" ca="1" si="91"/>
        <v>#N/A</v>
      </c>
      <c r="E881" s="620"/>
      <c r="F881" s="620"/>
      <c r="G881" s="620"/>
      <c r="H881" s="620"/>
      <c r="I881" s="620"/>
      <c r="J881" s="620"/>
      <c r="K881" s="570"/>
      <c r="O881" s="1223"/>
      <c r="Q881" s="1222"/>
    </row>
    <row r="882" spans="2:17" x14ac:dyDescent="0.4">
      <c r="B882" s="130"/>
      <c r="C882" s="611">
        <v>485</v>
      </c>
      <c r="D882" s="656" t="e">
        <f t="shared" ca="1" si="91"/>
        <v>#N/A</v>
      </c>
      <c r="E882" s="620"/>
      <c r="F882" s="620"/>
      <c r="G882" s="620"/>
      <c r="H882" s="620"/>
      <c r="I882" s="620"/>
      <c r="J882" s="620"/>
      <c r="K882" s="570"/>
      <c r="O882" s="1223"/>
      <c r="Q882" s="1222"/>
    </row>
    <row r="883" spans="2:17" x14ac:dyDescent="0.4">
      <c r="B883" s="130"/>
      <c r="C883" s="611">
        <v>486</v>
      </c>
      <c r="D883" s="656" t="e">
        <f t="shared" ca="1" si="91"/>
        <v>#N/A</v>
      </c>
      <c r="E883" s="620"/>
      <c r="F883" s="620"/>
      <c r="G883" s="620"/>
      <c r="H883" s="620"/>
      <c r="I883" s="620"/>
      <c r="J883" s="620"/>
      <c r="K883" s="570"/>
      <c r="O883" s="1223"/>
      <c r="Q883" s="1222"/>
    </row>
    <row r="884" spans="2:17" x14ac:dyDescent="0.4">
      <c r="B884" s="130"/>
      <c r="C884" s="611">
        <v>487</v>
      </c>
      <c r="D884" s="656" t="e">
        <f t="shared" ca="1" si="91"/>
        <v>#N/A</v>
      </c>
      <c r="E884" s="620"/>
      <c r="F884" s="620"/>
      <c r="G884" s="620"/>
      <c r="H884" s="620"/>
      <c r="I884" s="620"/>
      <c r="J884" s="620"/>
      <c r="K884" s="570"/>
      <c r="O884" s="1223"/>
      <c r="Q884" s="1222"/>
    </row>
    <row r="885" spans="2:17" x14ac:dyDescent="0.4">
      <c r="B885" s="130"/>
      <c r="C885" s="611">
        <v>488</v>
      </c>
      <c r="D885" s="656" t="e">
        <f t="shared" ca="1" si="91"/>
        <v>#N/A</v>
      </c>
      <c r="E885" s="620"/>
      <c r="F885" s="620"/>
      <c r="G885" s="620"/>
      <c r="H885" s="620"/>
      <c r="I885" s="620"/>
      <c r="J885" s="620"/>
      <c r="K885" s="570"/>
      <c r="O885" s="1223"/>
      <c r="Q885" s="1222"/>
    </row>
    <row r="886" spans="2:17" x14ac:dyDescent="0.4">
      <c r="B886" s="130"/>
      <c r="C886" s="611">
        <v>489</v>
      </c>
      <c r="D886" s="656" t="e">
        <f t="shared" ca="1" si="91"/>
        <v>#N/A</v>
      </c>
      <c r="E886" s="620"/>
      <c r="F886" s="620"/>
      <c r="G886" s="620"/>
      <c r="H886" s="620"/>
      <c r="I886" s="620"/>
      <c r="J886" s="620"/>
      <c r="K886" s="570"/>
      <c r="O886" s="1223"/>
      <c r="Q886" s="1222"/>
    </row>
    <row r="887" spans="2:17" x14ac:dyDescent="0.4">
      <c r="B887" s="130"/>
      <c r="C887" s="611">
        <v>490</v>
      </c>
      <c r="D887" s="656" t="e">
        <f t="shared" ca="1" si="91"/>
        <v>#N/A</v>
      </c>
      <c r="E887" s="620"/>
      <c r="F887" s="620"/>
      <c r="G887" s="620"/>
      <c r="H887" s="620"/>
      <c r="I887" s="620"/>
      <c r="J887" s="620"/>
      <c r="K887" s="570"/>
      <c r="O887" s="1223"/>
      <c r="Q887" s="1222"/>
    </row>
    <row r="888" spans="2:17" x14ac:dyDescent="0.4">
      <c r="B888" s="130"/>
      <c r="C888" s="611">
        <v>491</v>
      </c>
      <c r="D888" s="656" t="e">
        <f t="shared" ca="1" si="91"/>
        <v>#N/A</v>
      </c>
      <c r="E888" s="620"/>
      <c r="F888" s="620"/>
      <c r="G888" s="620"/>
      <c r="H888" s="620"/>
      <c r="I888" s="620"/>
      <c r="J888" s="620"/>
      <c r="K888" s="570"/>
      <c r="O888" s="1223"/>
      <c r="Q888" s="1222"/>
    </row>
    <row r="889" spans="2:17" x14ac:dyDescent="0.4">
      <c r="B889" s="130"/>
      <c r="C889" s="611">
        <v>492</v>
      </c>
      <c r="D889" s="656" t="e">
        <f t="shared" ca="1" si="91"/>
        <v>#N/A</v>
      </c>
      <c r="E889" s="620"/>
      <c r="F889" s="620"/>
      <c r="G889" s="620"/>
      <c r="H889" s="620"/>
      <c r="I889" s="620"/>
      <c r="J889" s="620"/>
      <c r="K889" s="570"/>
      <c r="O889" s="1223"/>
      <c r="Q889" s="1222"/>
    </row>
    <row r="890" spans="2:17" x14ac:dyDescent="0.4">
      <c r="B890" s="130"/>
      <c r="C890" s="611">
        <v>493</v>
      </c>
      <c r="D890" s="656" t="e">
        <f t="shared" ca="1" si="91"/>
        <v>#N/A</v>
      </c>
      <c r="E890" s="620"/>
      <c r="F890" s="620"/>
      <c r="G890" s="620"/>
      <c r="H890" s="620"/>
      <c r="I890" s="620"/>
      <c r="J890" s="620"/>
      <c r="K890" s="570"/>
      <c r="O890" s="1223"/>
      <c r="Q890" s="1222"/>
    </row>
    <row r="891" spans="2:17" x14ac:dyDescent="0.4">
      <c r="B891" s="130"/>
      <c r="C891" s="611">
        <v>494</v>
      </c>
      <c r="D891" s="656" t="e">
        <f t="shared" ca="1" si="91"/>
        <v>#N/A</v>
      </c>
      <c r="E891" s="620"/>
      <c r="F891" s="620"/>
      <c r="G891" s="620"/>
      <c r="H891" s="620"/>
      <c r="I891" s="620"/>
      <c r="J891" s="620"/>
      <c r="K891" s="570"/>
      <c r="O891" s="1223"/>
      <c r="Q891" s="1222"/>
    </row>
    <row r="892" spans="2:17" x14ac:dyDescent="0.4">
      <c r="B892" s="130"/>
      <c r="C892" s="611">
        <v>495</v>
      </c>
      <c r="D892" s="656" t="e">
        <f t="shared" ca="1" si="91"/>
        <v>#N/A</v>
      </c>
      <c r="E892" s="620"/>
      <c r="F892" s="620"/>
      <c r="G892" s="620"/>
      <c r="H892" s="620"/>
      <c r="I892" s="620"/>
      <c r="J892" s="620"/>
      <c r="K892" s="570"/>
      <c r="O892" s="1223"/>
      <c r="Q892" s="1222"/>
    </row>
    <row r="893" spans="2:17" x14ac:dyDescent="0.4">
      <c r="B893" s="130"/>
      <c r="C893" s="611">
        <v>496</v>
      </c>
      <c r="D893" s="656" t="e">
        <f t="shared" ca="1" si="91"/>
        <v>#N/A</v>
      </c>
      <c r="E893" s="620"/>
      <c r="F893" s="620"/>
      <c r="G893" s="620"/>
      <c r="H893" s="620"/>
      <c r="I893" s="620"/>
      <c r="J893" s="620"/>
      <c r="K893" s="570"/>
      <c r="O893" s="1223"/>
      <c r="Q893" s="1222"/>
    </row>
    <row r="894" spans="2:17" x14ac:dyDescent="0.4">
      <c r="B894" s="130"/>
      <c r="C894" s="611">
        <v>497</v>
      </c>
      <c r="D894" s="656" t="e">
        <f t="shared" ca="1" si="91"/>
        <v>#N/A</v>
      </c>
      <c r="E894" s="620"/>
      <c r="F894" s="620"/>
      <c r="G894" s="620"/>
      <c r="H894" s="620"/>
      <c r="I894" s="620"/>
      <c r="J894" s="620"/>
      <c r="K894" s="570"/>
      <c r="O894" s="1223"/>
      <c r="Q894" s="1222"/>
    </row>
    <row r="895" spans="2:17" x14ac:dyDescent="0.4">
      <c r="B895" s="130"/>
      <c r="C895" s="611">
        <v>498</v>
      </c>
      <c r="D895" s="656" t="e">
        <f t="shared" ca="1" si="91"/>
        <v>#N/A</v>
      </c>
      <c r="E895" s="620"/>
      <c r="F895" s="620"/>
      <c r="G895" s="620"/>
      <c r="H895" s="620"/>
      <c r="I895" s="620"/>
      <c r="J895" s="620"/>
      <c r="K895" s="570"/>
      <c r="O895" s="1223"/>
      <c r="Q895" s="1222"/>
    </row>
    <row r="896" spans="2:17" x14ac:dyDescent="0.4">
      <c r="B896" s="130"/>
      <c r="C896" s="611">
        <v>499</v>
      </c>
      <c r="D896" s="656" t="e">
        <f t="shared" ca="1" si="91"/>
        <v>#N/A</v>
      </c>
      <c r="E896" s="620"/>
      <c r="F896" s="620"/>
      <c r="G896" s="620"/>
      <c r="H896" s="620"/>
      <c r="I896" s="620"/>
      <c r="J896" s="620"/>
      <c r="K896" s="570"/>
      <c r="O896" s="1223"/>
      <c r="Q896" s="1222"/>
    </row>
    <row r="897" spans="2:17" x14ac:dyDescent="0.4">
      <c r="B897" s="130"/>
      <c r="C897" s="611">
        <v>500</v>
      </c>
      <c r="D897" s="656" t="e">
        <f t="shared" ca="1" si="91"/>
        <v>#N/A</v>
      </c>
      <c r="E897" s="620"/>
      <c r="F897" s="620"/>
      <c r="G897" s="620"/>
      <c r="H897" s="620"/>
      <c r="I897" s="620"/>
      <c r="J897" s="620"/>
      <c r="K897" s="570"/>
      <c r="O897" s="1223"/>
      <c r="Q897" s="1222"/>
    </row>
    <row r="898" spans="2:17" x14ac:dyDescent="0.4">
      <c r="B898" s="130"/>
      <c r="C898" s="611">
        <v>501</v>
      </c>
      <c r="D898" s="656" t="e">
        <f t="shared" ca="1" si="91"/>
        <v>#N/A</v>
      </c>
      <c r="E898" s="620"/>
      <c r="F898" s="620"/>
      <c r="G898" s="620"/>
      <c r="H898" s="620"/>
      <c r="I898" s="620"/>
      <c r="J898" s="620"/>
      <c r="K898" s="570"/>
      <c r="O898" s="1223"/>
      <c r="Q898" s="1222"/>
    </row>
    <row r="899" spans="2:17" x14ac:dyDescent="0.4">
      <c r="B899" s="130"/>
      <c r="C899" s="611">
        <v>502</v>
      </c>
      <c r="D899" s="656" t="e">
        <f t="shared" ca="1" si="91"/>
        <v>#N/A</v>
      </c>
      <c r="E899" s="620"/>
      <c r="F899" s="620"/>
      <c r="G899" s="620"/>
      <c r="H899" s="620"/>
      <c r="I899" s="620"/>
      <c r="J899" s="620"/>
      <c r="K899" s="570"/>
      <c r="O899" s="1223"/>
      <c r="Q899" s="1222"/>
    </row>
    <row r="900" spans="2:17" x14ac:dyDescent="0.4">
      <c r="B900" s="130"/>
      <c r="C900" s="611">
        <v>503</v>
      </c>
      <c r="D900" s="656" t="e">
        <f t="shared" ca="1" si="91"/>
        <v>#N/A</v>
      </c>
      <c r="E900" s="620"/>
      <c r="F900" s="620"/>
      <c r="G900" s="620"/>
      <c r="H900" s="620"/>
      <c r="I900" s="620"/>
      <c r="J900" s="620"/>
      <c r="K900" s="570"/>
      <c r="O900" s="1223"/>
      <c r="Q900" s="1222"/>
    </row>
    <row r="901" spans="2:17" x14ac:dyDescent="0.4">
      <c r="B901" s="130"/>
      <c r="C901" s="611">
        <v>504</v>
      </c>
      <c r="D901" s="656" t="e">
        <f t="shared" ca="1" si="91"/>
        <v>#N/A</v>
      </c>
      <c r="E901" s="620"/>
      <c r="F901" s="620"/>
      <c r="G901" s="620"/>
      <c r="H901" s="620"/>
      <c r="I901" s="620"/>
      <c r="J901" s="620"/>
      <c r="K901" s="570"/>
      <c r="O901" s="1223"/>
      <c r="Q901" s="1222"/>
    </row>
    <row r="902" spans="2:17" x14ac:dyDescent="0.4">
      <c r="B902" s="130"/>
      <c r="C902" s="611">
        <v>505</v>
      </c>
      <c r="D902" s="656" t="e">
        <f t="shared" ca="1" si="91"/>
        <v>#N/A</v>
      </c>
      <c r="E902" s="620"/>
      <c r="F902" s="620"/>
      <c r="G902" s="620"/>
      <c r="H902" s="620"/>
      <c r="I902" s="620"/>
      <c r="J902" s="620"/>
      <c r="K902" s="570"/>
      <c r="O902" s="1223"/>
      <c r="Q902" s="1222"/>
    </row>
    <row r="903" spans="2:17" x14ac:dyDescent="0.4">
      <c r="B903" s="130"/>
      <c r="C903" s="611">
        <v>506</v>
      </c>
      <c r="D903" s="656" t="e">
        <f t="shared" ca="1" si="91"/>
        <v>#N/A</v>
      </c>
      <c r="E903" s="620"/>
      <c r="F903" s="620"/>
      <c r="G903" s="620"/>
      <c r="H903" s="620"/>
      <c r="I903" s="620"/>
      <c r="J903" s="620"/>
      <c r="K903" s="570"/>
      <c r="O903" s="1223"/>
      <c r="Q903" s="1222"/>
    </row>
    <row r="904" spans="2:17" x14ac:dyDescent="0.4">
      <c r="B904" s="130"/>
      <c r="C904" s="611">
        <v>507</v>
      </c>
      <c r="D904" s="656" t="e">
        <f t="shared" ca="1" si="91"/>
        <v>#N/A</v>
      </c>
      <c r="E904" s="620"/>
      <c r="F904" s="620"/>
      <c r="G904" s="620"/>
      <c r="H904" s="620"/>
      <c r="I904" s="620"/>
      <c r="J904" s="620"/>
      <c r="K904" s="570"/>
      <c r="O904" s="1223"/>
      <c r="Q904" s="1222"/>
    </row>
    <row r="905" spans="2:17" x14ac:dyDescent="0.4">
      <c r="B905" s="130"/>
      <c r="C905" s="611">
        <v>508</v>
      </c>
      <c r="D905" s="656" t="e">
        <f t="shared" ca="1" si="91"/>
        <v>#N/A</v>
      </c>
      <c r="E905" s="620"/>
      <c r="F905" s="620"/>
      <c r="G905" s="620"/>
      <c r="H905" s="620"/>
      <c r="I905" s="620"/>
      <c r="J905" s="620"/>
      <c r="K905" s="570"/>
      <c r="O905" s="1223"/>
      <c r="Q905" s="1222"/>
    </row>
    <row r="906" spans="2:17" x14ac:dyDescent="0.4">
      <c r="B906" s="130"/>
      <c r="C906" s="611">
        <v>509</v>
      </c>
      <c r="D906" s="656" t="e">
        <f t="shared" ca="1" si="91"/>
        <v>#N/A</v>
      </c>
      <c r="E906" s="620"/>
      <c r="F906" s="620"/>
      <c r="G906" s="620"/>
      <c r="H906" s="620"/>
      <c r="I906" s="620"/>
      <c r="J906" s="620"/>
      <c r="K906" s="570"/>
      <c r="O906" s="1223"/>
      <c r="Q906" s="1222"/>
    </row>
    <row r="907" spans="2:17" x14ac:dyDescent="0.4">
      <c r="B907" s="130"/>
      <c r="C907" s="611">
        <v>510</v>
      </c>
      <c r="D907" s="656" t="e">
        <f t="shared" ca="1" si="91"/>
        <v>#N/A</v>
      </c>
      <c r="E907" s="620"/>
      <c r="F907" s="620"/>
      <c r="G907" s="620"/>
      <c r="H907" s="620"/>
      <c r="I907" s="620"/>
      <c r="J907" s="620"/>
      <c r="K907" s="570"/>
      <c r="O907" s="1223"/>
      <c r="Q907" s="1222"/>
    </row>
    <row r="908" spans="2:17" x14ac:dyDescent="0.4">
      <c r="B908" s="130"/>
      <c r="C908" s="611">
        <v>511</v>
      </c>
      <c r="D908" s="656" t="e">
        <f t="shared" ca="1" si="91"/>
        <v>#N/A</v>
      </c>
      <c r="E908" s="620"/>
      <c r="F908" s="620"/>
      <c r="G908" s="620"/>
      <c r="H908" s="620"/>
      <c r="I908" s="620"/>
      <c r="J908" s="620"/>
      <c r="K908" s="570"/>
      <c r="O908" s="1223"/>
      <c r="Q908" s="1222"/>
    </row>
    <row r="909" spans="2:17" x14ac:dyDescent="0.4">
      <c r="B909" s="130"/>
      <c r="C909" s="611">
        <v>512</v>
      </c>
      <c r="D909" s="656" t="e">
        <f t="shared" ref="D909:D972" ca="1" si="92">$C$376*C909</f>
        <v>#N/A</v>
      </c>
      <c r="E909" s="620"/>
      <c r="F909" s="620"/>
      <c r="G909" s="620"/>
      <c r="H909" s="620"/>
      <c r="I909" s="620"/>
      <c r="J909" s="620"/>
      <c r="K909" s="570"/>
      <c r="O909" s="1223"/>
      <c r="Q909" s="1222"/>
    </row>
    <row r="910" spans="2:17" x14ac:dyDescent="0.4">
      <c r="B910" s="130"/>
      <c r="C910" s="611">
        <v>513</v>
      </c>
      <c r="D910" s="656" t="e">
        <f t="shared" ca="1" si="92"/>
        <v>#N/A</v>
      </c>
      <c r="E910" s="620"/>
      <c r="F910" s="620"/>
      <c r="G910" s="620"/>
      <c r="H910" s="620"/>
      <c r="I910" s="620"/>
      <c r="J910" s="620"/>
      <c r="K910" s="570"/>
      <c r="O910" s="1223"/>
      <c r="Q910" s="1222"/>
    </row>
    <row r="911" spans="2:17" x14ac:dyDescent="0.4">
      <c r="B911" s="130"/>
      <c r="C911" s="611">
        <v>514</v>
      </c>
      <c r="D911" s="656" t="e">
        <f t="shared" ca="1" si="92"/>
        <v>#N/A</v>
      </c>
      <c r="E911" s="620"/>
      <c r="F911" s="620"/>
      <c r="G911" s="620"/>
      <c r="H911" s="620"/>
      <c r="I911" s="620"/>
      <c r="J911" s="620"/>
      <c r="K911" s="570"/>
      <c r="O911" s="1223"/>
      <c r="Q911" s="1222"/>
    </row>
    <row r="912" spans="2:17" x14ac:dyDescent="0.4">
      <c r="B912" s="130"/>
      <c r="C912" s="611">
        <v>515</v>
      </c>
      <c r="D912" s="656" t="e">
        <f t="shared" ca="1" si="92"/>
        <v>#N/A</v>
      </c>
      <c r="E912" s="620"/>
      <c r="F912" s="620"/>
      <c r="G912" s="620"/>
      <c r="H912" s="620"/>
      <c r="I912" s="620"/>
      <c r="J912" s="620"/>
      <c r="K912" s="570"/>
      <c r="O912" s="1223"/>
      <c r="Q912" s="1222"/>
    </row>
    <row r="913" spans="2:17" x14ac:dyDescent="0.4">
      <c r="B913" s="130"/>
      <c r="C913" s="611">
        <v>516</v>
      </c>
      <c r="D913" s="656" t="e">
        <f t="shared" ca="1" si="92"/>
        <v>#N/A</v>
      </c>
      <c r="E913" s="620"/>
      <c r="F913" s="620"/>
      <c r="G913" s="620"/>
      <c r="H913" s="620"/>
      <c r="I913" s="620"/>
      <c r="J913" s="620"/>
      <c r="K913" s="570"/>
      <c r="O913" s="1223"/>
      <c r="Q913" s="1222"/>
    </row>
    <row r="914" spans="2:17" x14ac:dyDescent="0.4">
      <c r="B914" s="130"/>
      <c r="C914" s="611">
        <v>517</v>
      </c>
      <c r="D914" s="656" t="e">
        <f t="shared" ca="1" si="92"/>
        <v>#N/A</v>
      </c>
      <c r="E914" s="620"/>
      <c r="F914" s="620"/>
      <c r="G914" s="620"/>
      <c r="H914" s="620"/>
      <c r="I914" s="620"/>
      <c r="J914" s="620"/>
      <c r="K914" s="570"/>
      <c r="O914" s="1223"/>
      <c r="Q914" s="1222"/>
    </row>
    <row r="915" spans="2:17" x14ac:dyDescent="0.4">
      <c r="B915" s="130"/>
      <c r="C915" s="611">
        <v>518</v>
      </c>
      <c r="D915" s="656" t="e">
        <f t="shared" ca="1" si="92"/>
        <v>#N/A</v>
      </c>
      <c r="E915" s="620"/>
      <c r="F915" s="620"/>
      <c r="G915" s="620"/>
      <c r="H915" s="620"/>
      <c r="I915" s="620"/>
      <c r="J915" s="620"/>
      <c r="K915" s="570"/>
      <c r="O915" s="1223"/>
      <c r="Q915" s="1222"/>
    </row>
    <row r="916" spans="2:17" x14ac:dyDescent="0.4">
      <c r="B916" s="130"/>
      <c r="C916" s="611">
        <v>519</v>
      </c>
      <c r="D916" s="656" t="e">
        <f t="shared" ca="1" si="92"/>
        <v>#N/A</v>
      </c>
      <c r="E916" s="620"/>
      <c r="F916" s="620"/>
      <c r="G916" s="620"/>
      <c r="H916" s="620"/>
      <c r="I916" s="620"/>
      <c r="J916" s="620"/>
      <c r="K916" s="570"/>
      <c r="O916" s="1223"/>
      <c r="Q916" s="1222"/>
    </row>
    <row r="917" spans="2:17" x14ac:dyDescent="0.4">
      <c r="B917" s="130"/>
      <c r="C917" s="611">
        <v>520</v>
      </c>
      <c r="D917" s="656" t="e">
        <f t="shared" ca="1" si="92"/>
        <v>#N/A</v>
      </c>
      <c r="E917" s="620"/>
      <c r="F917" s="620"/>
      <c r="G917" s="620"/>
      <c r="H917" s="620"/>
      <c r="I917" s="620"/>
      <c r="J917" s="620"/>
      <c r="K917" s="570"/>
      <c r="O917" s="1223"/>
      <c r="Q917" s="1222"/>
    </row>
    <row r="918" spans="2:17" x14ac:dyDescent="0.4">
      <c r="B918" s="130"/>
      <c r="C918" s="611">
        <v>521</v>
      </c>
      <c r="D918" s="656" t="e">
        <f t="shared" ca="1" si="92"/>
        <v>#N/A</v>
      </c>
      <c r="E918" s="620"/>
      <c r="F918" s="620"/>
      <c r="G918" s="620"/>
      <c r="H918" s="620"/>
      <c r="I918" s="620"/>
      <c r="J918" s="620"/>
      <c r="K918" s="570"/>
      <c r="O918" s="1223"/>
      <c r="Q918" s="1222"/>
    </row>
    <row r="919" spans="2:17" x14ac:dyDescent="0.4">
      <c r="B919" s="130"/>
      <c r="C919" s="611">
        <v>522</v>
      </c>
      <c r="D919" s="656" t="e">
        <f t="shared" ca="1" si="92"/>
        <v>#N/A</v>
      </c>
      <c r="E919" s="620"/>
      <c r="F919" s="620"/>
      <c r="G919" s="620"/>
      <c r="H919" s="620"/>
      <c r="I919" s="620"/>
      <c r="J919" s="620"/>
      <c r="K919" s="570"/>
      <c r="O919" s="1223"/>
      <c r="Q919" s="1222"/>
    </row>
    <row r="920" spans="2:17" x14ac:dyDescent="0.4">
      <c r="B920" s="130"/>
      <c r="C920" s="611">
        <v>523</v>
      </c>
      <c r="D920" s="656" t="e">
        <f t="shared" ca="1" si="92"/>
        <v>#N/A</v>
      </c>
      <c r="E920" s="620"/>
      <c r="F920" s="620"/>
      <c r="G920" s="620"/>
      <c r="H920" s="620"/>
      <c r="I920" s="620"/>
      <c r="J920" s="620"/>
      <c r="K920" s="570"/>
      <c r="O920" s="1223"/>
      <c r="Q920" s="1222"/>
    </row>
    <row r="921" spans="2:17" x14ac:dyDescent="0.4">
      <c r="B921" s="130"/>
      <c r="C921" s="611">
        <v>524</v>
      </c>
      <c r="D921" s="656" t="e">
        <f t="shared" ca="1" si="92"/>
        <v>#N/A</v>
      </c>
      <c r="E921" s="620"/>
      <c r="F921" s="620"/>
      <c r="G921" s="620"/>
      <c r="H921" s="620"/>
      <c r="I921" s="620"/>
      <c r="J921" s="620"/>
      <c r="K921" s="570"/>
      <c r="O921" s="1223"/>
      <c r="Q921" s="1222"/>
    </row>
    <row r="922" spans="2:17" x14ac:dyDescent="0.4">
      <c r="B922" s="130"/>
      <c r="C922" s="611">
        <v>525</v>
      </c>
      <c r="D922" s="656" t="e">
        <f t="shared" ca="1" si="92"/>
        <v>#N/A</v>
      </c>
      <c r="E922" s="620"/>
      <c r="F922" s="620"/>
      <c r="G922" s="620"/>
      <c r="H922" s="620"/>
      <c r="I922" s="620"/>
      <c r="J922" s="620"/>
      <c r="K922" s="570"/>
      <c r="O922" s="1223"/>
      <c r="Q922" s="1222"/>
    </row>
    <row r="923" spans="2:17" x14ac:dyDescent="0.4">
      <c r="B923" s="130"/>
      <c r="C923" s="611">
        <v>526</v>
      </c>
      <c r="D923" s="656" t="e">
        <f t="shared" ca="1" si="92"/>
        <v>#N/A</v>
      </c>
      <c r="E923" s="620"/>
      <c r="F923" s="620"/>
      <c r="G923" s="620"/>
      <c r="H923" s="620"/>
      <c r="I923" s="620"/>
      <c r="J923" s="620"/>
      <c r="K923" s="570"/>
      <c r="O923" s="1223"/>
      <c r="Q923" s="1222"/>
    </row>
    <row r="924" spans="2:17" x14ac:dyDescent="0.4">
      <c r="B924" s="130"/>
      <c r="C924" s="611">
        <v>527</v>
      </c>
      <c r="D924" s="656" t="e">
        <f t="shared" ca="1" si="92"/>
        <v>#N/A</v>
      </c>
      <c r="E924" s="620"/>
      <c r="F924" s="620"/>
      <c r="G924" s="620"/>
      <c r="H924" s="620"/>
      <c r="I924" s="620"/>
      <c r="J924" s="620"/>
      <c r="K924" s="570"/>
      <c r="O924" s="1223"/>
      <c r="Q924" s="1222"/>
    </row>
    <row r="925" spans="2:17" x14ac:dyDescent="0.4">
      <c r="B925" s="130"/>
      <c r="C925" s="611">
        <v>528</v>
      </c>
      <c r="D925" s="656" t="e">
        <f t="shared" ca="1" si="92"/>
        <v>#N/A</v>
      </c>
      <c r="E925" s="620"/>
      <c r="F925" s="620"/>
      <c r="G925" s="620"/>
      <c r="H925" s="620"/>
      <c r="I925" s="620"/>
      <c r="J925" s="620"/>
      <c r="K925" s="570"/>
      <c r="O925" s="1223"/>
      <c r="Q925" s="1222"/>
    </row>
    <row r="926" spans="2:17" x14ac:dyDescent="0.4">
      <c r="B926" s="130"/>
      <c r="C926" s="611">
        <v>529</v>
      </c>
      <c r="D926" s="656" t="e">
        <f t="shared" ca="1" si="92"/>
        <v>#N/A</v>
      </c>
      <c r="E926" s="620"/>
      <c r="F926" s="620"/>
      <c r="G926" s="620"/>
      <c r="H926" s="620"/>
      <c r="I926" s="620"/>
      <c r="J926" s="620"/>
      <c r="K926" s="570"/>
      <c r="O926" s="1223"/>
      <c r="Q926" s="1222"/>
    </row>
    <row r="927" spans="2:17" x14ac:dyDescent="0.4">
      <c r="B927" s="130"/>
      <c r="C927" s="611">
        <v>530</v>
      </c>
      <c r="D927" s="656" t="e">
        <f t="shared" ca="1" si="92"/>
        <v>#N/A</v>
      </c>
      <c r="E927" s="620"/>
      <c r="F927" s="620"/>
      <c r="G927" s="620"/>
      <c r="H927" s="620"/>
      <c r="I927" s="620"/>
      <c r="J927" s="620"/>
      <c r="K927" s="570"/>
      <c r="O927" s="1223"/>
      <c r="Q927" s="1222"/>
    </row>
    <row r="928" spans="2:17" x14ac:dyDescent="0.4">
      <c r="B928" s="130"/>
      <c r="C928" s="611">
        <v>531</v>
      </c>
      <c r="D928" s="656" t="e">
        <f t="shared" ca="1" si="92"/>
        <v>#N/A</v>
      </c>
      <c r="E928" s="620"/>
      <c r="F928" s="620"/>
      <c r="G928" s="620"/>
      <c r="H928" s="620"/>
      <c r="I928" s="620"/>
      <c r="J928" s="620"/>
      <c r="K928" s="570"/>
      <c r="O928" s="1223"/>
      <c r="Q928" s="1222"/>
    </row>
    <row r="929" spans="2:17" x14ac:dyDescent="0.4">
      <c r="B929" s="130"/>
      <c r="C929" s="611">
        <v>532</v>
      </c>
      <c r="D929" s="656" t="e">
        <f t="shared" ca="1" si="92"/>
        <v>#N/A</v>
      </c>
      <c r="E929" s="620"/>
      <c r="F929" s="620"/>
      <c r="G929" s="620"/>
      <c r="H929" s="620"/>
      <c r="I929" s="620"/>
      <c r="J929" s="620"/>
      <c r="K929" s="570"/>
      <c r="O929" s="1223"/>
      <c r="Q929" s="1222"/>
    </row>
    <row r="930" spans="2:17" x14ac:dyDescent="0.4">
      <c r="B930" s="130"/>
      <c r="C930" s="611">
        <v>533</v>
      </c>
      <c r="D930" s="656" t="e">
        <f t="shared" ca="1" si="92"/>
        <v>#N/A</v>
      </c>
      <c r="E930" s="620"/>
      <c r="F930" s="620"/>
      <c r="G930" s="620"/>
      <c r="H930" s="620"/>
      <c r="I930" s="620"/>
      <c r="J930" s="620"/>
      <c r="K930" s="570"/>
      <c r="O930" s="1223"/>
      <c r="Q930" s="1222"/>
    </row>
    <row r="931" spans="2:17" x14ac:dyDescent="0.4">
      <c r="B931" s="130"/>
      <c r="C931" s="611">
        <v>534</v>
      </c>
      <c r="D931" s="656" t="e">
        <f t="shared" ca="1" si="92"/>
        <v>#N/A</v>
      </c>
      <c r="E931" s="620"/>
      <c r="F931" s="620"/>
      <c r="G931" s="620"/>
      <c r="H931" s="620"/>
      <c r="I931" s="620"/>
      <c r="J931" s="620"/>
      <c r="K931" s="570"/>
      <c r="O931" s="1223"/>
      <c r="Q931" s="1222"/>
    </row>
    <row r="932" spans="2:17" x14ac:dyDescent="0.4">
      <c r="B932" s="130"/>
      <c r="C932" s="611">
        <v>535</v>
      </c>
      <c r="D932" s="656" t="e">
        <f t="shared" ca="1" si="92"/>
        <v>#N/A</v>
      </c>
      <c r="E932" s="620"/>
      <c r="F932" s="620"/>
      <c r="G932" s="620"/>
      <c r="H932" s="620"/>
      <c r="I932" s="620"/>
      <c r="J932" s="620"/>
      <c r="K932" s="570"/>
      <c r="O932" s="1223"/>
      <c r="Q932" s="1222"/>
    </row>
    <row r="933" spans="2:17" x14ac:dyDescent="0.4">
      <c r="B933" s="130"/>
      <c r="C933" s="611">
        <v>536</v>
      </c>
      <c r="D933" s="656" t="e">
        <f t="shared" ca="1" si="92"/>
        <v>#N/A</v>
      </c>
      <c r="E933" s="620"/>
      <c r="F933" s="620"/>
      <c r="G933" s="620"/>
      <c r="H933" s="620"/>
      <c r="I933" s="620"/>
      <c r="J933" s="620"/>
      <c r="K933" s="570"/>
      <c r="O933" s="1223"/>
      <c r="Q933" s="1222"/>
    </row>
    <row r="934" spans="2:17" x14ac:dyDescent="0.4">
      <c r="B934" s="130"/>
      <c r="C934" s="611">
        <v>537</v>
      </c>
      <c r="D934" s="656" t="e">
        <f t="shared" ca="1" si="92"/>
        <v>#N/A</v>
      </c>
      <c r="E934" s="620"/>
      <c r="F934" s="620"/>
      <c r="G934" s="620"/>
      <c r="H934" s="620"/>
      <c r="I934" s="620"/>
      <c r="J934" s="620"/>
      <c r="K934" s="570"/>
      <c r="O934" s="1223"/>
      <c r="Q934" s="1222"/>
    </row>
    <row r="935" spans="2:17" x14ac:dyDescent="0.4">
      <c r="B935" s="130"/>
      <c r="C935" s="611">
        <v>538</v>
      </c>
      <c r="D935" s="656" t="e">
        <f t="shared" ca="1" si="92"/>
        <v>#N/A</v>
      </c>
      <c r="E935" s="620"/>
      <c r="F935" s="620"/>
      <c r="G935" s="620"/>
      <c r="H935" s="620"/>
      <c r="I935" s="620"/>
      <c r="J935" s="620"/>
      <c r="K935" s="570"/>
      <c r="O935" s="1223"/>
      <c r="Q935" s="1222"/>
    </row>
    <row r="936" spans="2:17" x14ac:dyDescent="0.4">
      <c r="B936" s="130"/>
      <c r="C936" s="611">
        <v>539</v>
      </c>
      <c r="D936" s="656" t="e">
        <f t="shared" ca="1" si="92"/>
        <v>#N/A</v>
      </c>
      <c r="E936" s="620"/>
      <c r="F936" s="620"/>
      <c r="G936" s="620"/>
      <c r="H936" s="620"/>
      <c r="I936" s="620"/>
      <c r="J936" s="620"/>
      <c r="K936" s="570"/>
      <c r="O936" s="1223"/>
      <c r="Q936" s="1222"/>
    </row>
    <row r="937" spans="2:17" x14ac:dyDescent="0.4">
      <c r="B937" s="130"/>
      <c r="C937" s="611">
        <v>540</v>
      </c>
      <c r="D937" s="656" t="e">
        <f t="shared" ca="1" si="92"/>
        <v>#N/A</v>
      </c>
      <c r="E937" s="620"/>
      <c r="F937" s="620"/>
      <c r="G937" s="620"/>
      <c r="H937" s="620"/>
      <c r="I937" s="620"/>
      <c r="J937" s="620"/>
      <c r="K937" s="570"/>
      <c r="O937" s="1223"/>
      <c r="Q937" s="1222"/>
    </row>
    <row r="938" spans="2:17" x14ac:dyDescent="0.4">
      <c r="B938" s="130"/>
      <c r="C938" s="611">
        <v>541</v>
      </c>
      <c r="D938" s="656" t="e">
        <f t="shared" ca="1" si="92"/>
        <v>#N/A</v>
      </c>
      <c r="E938" s="620"/>
      <c r="F938" s="620"/>
      <c r="G938" s="620"/>
      <c r="H938" s="620"/>
      <c r="I938" s="620"/>
      <c r="J938" s="620"/>
      <c r="K938" s="570"/>
      <c r="O938" s="1223"/>
      <c r="Q938" s="1222"/>
    </row>
    <row r="939" spans="2:17" x14ac:dyDescent="0.4">
      <c r="B939" s="130"/>
      <c r="C939" s="611">
        <v>542</v>
      </c>
      <c r="D939" s="656" t="e">
        <f t="shared" ca="1" si="92"/>
        <v>#N/A</v>
      </c>
      <c r="E939" s="620"/>
      <c r="F939" s="620"/>
      <c r="G939" s="620"/>
      <c r="H939" s="620"/>
      <c r="I939" s="620"/>
      <c r="J939" s="620"/>
      <c r="K939" s="570"/>
      <c r="O939" s="1223"/>
      <c r="Q939" s="1222"/>
    </row>
    <row r="940" spans="2:17" x14ac:dyDescent="0.4">
      <c r="B940" s="130"/>
      <c r="C940" s="611">
        <v>543</v>
      </c>
      <c r="D940" s="656" t="e">
        <f t="shared" ca="1" si="92"/>
        <v>#N/A</v>
      </c>
      <c r="E940" s="620"/>
      <c r="F940" s="620"/>
      <c r="G940" s="620"/>
      <c r="H940" s="620"/>
      <c r="I940" s="620"/>
      <c r="J940" s="620"/>
      <c r="K940" s="570"/>
      <c r="O940" s="1223"/>
      <c r="Q940" s="1222"/>
    </row>
    <row r="941" spans="2:17" x14ac:dyDescent="0.4">
      <c r="B941" s="130"/>
      <c r="C941" s="611">
        <v>544</v>
      </c>
      <c r="D941" s="656" t="e">
        <f t="shared" ca="1" si="92"/>
        <v>#N/A</v>
      </c>
      <c r="E941" s="620"/>
      <c r="F941" s="620"/>
      <c r="G941" s="620"/>
      <c r="H941" s="620"/>
      <c r="I941" s="620"/>
      <c r="J941" s="620"/>
      <c r="K941" s="570"/>
      <c r="O941" s="1223"/>
      <c r="Q941" s="1222"/>
    </row>
    <row r="942" spans="2:17" x14ac:dyDescent="0.4">
      <c r="B942" s="130"/>
      <c r="C942" s="611">
        <v>545</v>
      </c>
      <c r="D942" s="656" t="e">
        <f t="shared" ca="1" si="92"/>
        <v>#N/A</v>
      </c>
      <c r="E942" s="620"/>
      <c r="F942" s="620"/>
      <c r="G942" s="620"/>
      <c r="H942" s="620"/>
      <c r="I942" s="620"/>
      <c r="J942" s="620"/>
      <c r="K942" s="570"/>
      <c r="O942" s="1223"/>
      <c r="Q942" s="1222"/>
    </row>
    <row r="943" spans="2:17" x14ac:dyDescent="0.4">
      <c r="B943" s="130"/>
      <c r="C943" s="611">
        <v>546</v>
      </c>
      <c r="D943" s="656" t="e">
        <f t="shared" ca="1" si="92"/>
        <v>#N/A</v>
      </c>
      <c r="E943" s="620"/>
      <c r="F943" s="620"/>
      <c r="G943" s="620"/>
      <c r="H943" s="620"/>
      <c r="I943" s="620"/>
      <c r="J943" s="620"/>
      <c r="K943" s="570"/>
      <c r="O943" s="1223"/>
      <c r="Q943" s="1222"/>
    </row>
    <row r="944" spans="2:17" x14ac:dyDescent="0.4">
      <c r="B944" s="130"/>
      <c r="C944" s="611">
        <v>547</v>
      </c>
      <c r="D944" s="656" t="e">
        <f t="shared" ca="1" si="92"/>
        <v>#N/A</v>
      </c>
      <c r="E944" s="620"/>
      <c r="F944" s="620"/>
      <c r="G944" s="620"/>
      <c r="H944" s="620"/>
      <c r="I944" s="620"/>
      <c r="J944" s="620"/>
      <c r="K944" s="570"/>
      <c r="O944" s="1223"/>
      <c r="Q944" s="1222"/>
    </row>
    <row r="945" spans="2:17" x14ac:dyDescent="0.4">
      <c r="B945" s="130"/>
      <c r="C945" s="611">
        <v>548</v>
      </c>
      <c r="D945" s="656" t="e">
        <f t="shared" ca="1" si="92"/>
        <v>#N/A</v>
      </c>
      <c r="E945" s="620"/>
      <c r="F945" s="620"/>
      <c r="G945" s="620"/>
      <c r="H945" s="620"/>
      <c r="I945" s="620"/>
      <c r="J945" s="620"/>
      <c r="K945" s="570"/>
      <c r="O945" s="1223"/>
      <c r="Q945" s="1222"/>
    </row>
    <row r="946" spans="2:17" x14ac:dyDescent="0.4">
      <c r="B946" s="130"/>
      <c r="C946" s="611">
        <v>549</v>
      </c>
      <c r="D946" s="656" t="e">
        <f t="shared" ca="1" si="92"/>
        <v>#N/A</v>
      </c>
      <c r="E946" s="620"/>
      <c r="F946" s="620"/>
      <c r="G946" s="620"/>
      <c r="H946" s="620"/>
      <c r="I946" s="620"/>
      <c r="J946" s="620"/>
      <c r="K946" s="570"/>
      <c r="O946" s="1223"/>
      <c r="Q946" s="1222"/>
    </row>
    <row r="947" spans="2:17" x14ac:dyDescent="0.4">
      <c r="B947" s="130"/>
      <c r="C947" s="611">
        <v>550</v>
      </c>
      <c r="D947" s="656" t="e">
        <f t="shared" ca="1" si="92"/>
        <v>#N/A</v>
      </c>
      <c r="E947" s="620"/>
      <c r="F947" s="620"/>
      <c r="G947" s="620"/>
      <c r="H947" s="620"/>
      <c r="I947" s="620"/>
      <c r="J947" s="620"/>
      <c r="K947" s="570"/>
      <c r="O947" s="1223"/>
      <c r="Q947" s="1222"/>
    </row>
    <row r="948" spans="2:17" x14ac:dyDescent="0.4">
      <c r="B948" s="130"/>
      <c r="C948" s="611">
        <v>551</v>
      </c>
      <c r="D948" s="656" t="e">
        <f t="shared" ca="1" si="92"/>
        <v>#N/A</v>
      </c>
      <c r="E948" s="620"/>
      <c r="F948" s="620"/>
      <c r="G948" s="620"/>
      <c r="H948" s="620"/>
      <c r="I948" s="620"/>
      <c r="J948" s="620"/>
      <c r="K948" s="570"/>
      <c r="O948" s="1223"/>
      <c r="Q948" s="1222"/>
    </row>
    <row r="949" spans="2:17" x14ac:dyDescent="0.4">
      <c r="B949" s="130"/>
      <c r="C949" s="611">
        <v>552</v>
      </c>
      <c r="D949" s="656" t="e">
        <f t="shared" ca="1" si="92"/>
        <v>#N/A</v>
      </c>
      <c r="E949" s="620"/>
      <c r="F949" s="620"/>
      <c r="G949" s="620"/>
      <c r="H949" s="620"/>
      <c r="I949" s="620"/>
      <c r="J949" s="620"/>
      <c r="K949" s="570"/>
      <c r="O949" s="1223"/>
      <c r="Q949" s="1222"/>
    </row>
    <row r="950" spans="2:17" x14ac:dyDescent="0.4">
      <c r="B950" s="130"/>
      <c r="C950" s="611">
        <v>553</v>
      </c>
      <c r="D950" s="656" t="e">
        <f t="shared" ca="1" si="92"/>
        <v>#N/A</v>
      </c>
      <c r="E950" s="620"/>
      <c r="F950" s="620"/>
      <c r="G950" s="620"/>
      <c r="H950" s="620"/>
      <c r="I950" s="620"/>
      <c r="J950" s="620"/>
      <c r="K950" s="570"/>
      <c r="O950" s="1223"/>
      <c r="Q950" s="1222"/>
    </row>
    <row r="951" spans="2:17" x14ac:dyDescent="0.4">
      <c r="B951" s="130"/>
      <c r="C951" s="611">
        <v>554</v>
      </c>
      <c r="D951" s="656" t="e">
        <f t="shared" ca="1" si="92"/>
        <v>#N/A</v>
      </c>
      <c r="E951" s="620"/>
      <c r="F951" s="620"/>
      <c r="G951" s="620"/>
      <c r="H951" s="620"/>
      <c r="I951" s="620"/>
      <c r="J951" s="620"/>
      <c r="K951" s="570"/>
      <c r="O951" s="1223"/>
      <c r="Q951" s="1222"/>
    </row>
    <row r="952" spans="2:17" x14ac:dyDescent="0.4">
      <c r="B952" s="130"/>
      <c r="C952" s="611">
        <v>555</v>
      </c>
      <c r="D952" s="656" t="e">
        <f t="shared" ca="1" si="92"/>
        <v>#N/A</v>
      </c>
      <c r="E952" s="620"/>
      <c r="F952" s="620"/>
      <c r="G952" s="620"/>
      <c r="H952" s="620"/>
      <c r="I952" s="620"/>
      <c r="J952" s="620"/>
      <c r="K952" s="570"/>
      <c r="O952" s="1223"/>
      <c r="Q952" s="1222"/>
    </row>
    <row r="953" spans="2:17" x14ac:dyDescent="0.4">
      <c r="B953" s="130"/>
      <c r="C953" s="611">
        <v>556</v>
      </c>
      <c r="D953" s="656" t="e">
        <f t="shared" ca="1" si="92"/>
        <v>#N/A</v>
      </c>
      <c r="E953" s="620"/>
      <c r="F953" s="620"/>
      <c r="G953" s="620"/>
      <c r="H953" s="620"/>
      <c r="I953" s="620"/>
      <c r="J953" s="620"/>
      <c r="K953" s="570"/>
      <c r="O953" s="1223"/>
      <c r="Q953" s="1222"/>
    </row>
    <row r="954" spans="2:17" x14ac:dyDescent="0.4">
      <c r="B954" s="130"/>
      <c r="C954" s="611">
        <v>557</v>
      </c>
      <c r="D954" s="656" t="e">
        <f t="shared" ca="1" si="92"/>
        <v>#N/A</v>
      </c>
      <c r="E954" s="620"/>
      <c r="F954" s="620"/>
      <c r="G954" s="620"/>
      <c r="H954" s="620"/>
      <c r="I954" s="620"/>
      <c r="J954" s="620"/>
      <c r="K954" s="570"/>
      <c r="O954" s="1223"/>
      <c r="Q954" s="1222"/>
    </row>
    <row r="955" spans="2:17" x14ac:dyDescent="0.4">
      <c r="B955" s="130"/>
      <c r="C955" s="611">
        <v>558</v>
      </c>
      <c r="D955" s="656" t="e">
        <f t="shared" ca="1" si="92"/>
        <v>#N/A</v>
      </c>
      <c r="E955" s="620"/>
      <c r="F955" s="620"/>
      <c r="G955" s="620"/>
      <c r="H955" s="620"/>
      <c r="I955" s="620"/>
      <c r="J955" s="620"/>
      <c r="K955" s="570"/>
      <c r="O955" s="1223"/>
      <c r="Q955" s="1222"/>
    </row>
    <row r="956" spans="2:17" x14ac:dyDescent="0.4">
      <c r="B956" s="130"/>
      <c r="C956" s="611">
        <v>559</v>
      </c>
      <c r="D956" s="656" t="e">
        <f t="shared" ca="1" si="92"/>
        <v>#N/A</v>
      </c>
      <c r="E956" s="620"/>
      <c r="F956" s="620"/>
      <c r="G956" s="620"/>
      <c r="H956" s="620"/>
      <c r="I956" s="620"/>
      <c r="J956" s="620"/>
      <c r="K956" s="570"/>
      <c r="O956" s="1223"/>
      <c r="Q956" s="1222"/>
    </row>
    <row r="957" spans="2:17" x14ac:dyDescent="0.4">
      <c r="B957" s="130"/>
      <c r="C957" s="611">
        <v>560</v>
      </c>
      <c r="D957" s="656" t="e">
        <f t="shared" ca="1" si="92"/>
        <v>#N/A</v>
      </c>
      <c r="E957" s="620"/>
      <c r="F957" s="620"/>
      <c r="G957" s="620"/>
      <c r="H957" s="620"/>
      <c r="I957" s="620"/>
      <c r="J957" s="620"/>
      <c r="K957" s="570"/>
      <c r="O957" s="1223"/>
      <c r="Q957" s="1222"/>
    </row>
    <row r="958" spans="2:17" x14ac:dyDescent="0.4">
      <c r="B958" s="130"/>
      <c r="C958" s="611">
        <v>561</v>
      </c>
      <c r="D958" s="656" t="e">
        <f t="shared" ca="1" si="92"/>
        <v>#N/A</v>
      </c>
      <c r="E958" s="620"/>
      <c r="F958" s="620"/>
      <c r="G958" s="620"/>
      <c r="H958" s="620"/>
      <c r="I958" s="620"/>
      <c r="J958" s="620"/>
      <c r="K958" s="570"/>
      <c r="O958" s="1223"/>
      <c r="Q958" s="1222"/>
    </row>
    <row r="959" spans="2:17" x14ac:dyDescent="0.4">
      <c r="B959" s="130"/>
      <c r="C959" s="611">
        <v>562</v>
      </c>
      <c r="D959" s="656" t="e">
        <f t="shared" ca="1" si="92"/>
        <v>#N/A</v>
      </c>
      <c r="E959" s="620"/>
      <c r="F959" s="620"/>
      <c r="G959" s="620"/>
      <c r="H959" s="620"/>
      <c r="I959" s="620"/>
      <c r="J959" s="620"/>
      <c r="K959" s="570"/>
      <c r="O959" s="1223"/>
      <c r="Q959" s="1222"/>
    </row>
    <row r="960" spans="2:17" x14ac:dyDescent="0.4">
      <c r="B960" s="130"/>
      <c r="C960" s="611">
        <v>563</v>
      </c>
      <c r="D960" s="656" t="e">
        <f t="shared" ca="1" si="92"/>
        <v>#N/A</v>
      </c>
      <c r="E960" s="620"/>
      <c r="F960" s="620"/>
      <c r="G960" s="620"/>
      <c r="H960" s="620"/>
      <c r="I960" s="620"/>
      <c r="J960" s="620"/>
      <c r="K960" s="570"/>
      <c r="O960" s="1223"/>
      <c r="Q960" s="1222"/>
    </row>
    <row r="961" spans="2:17" x14ac:dyDescent="0.4">
      <c r="B961" s="130"/>
      <c r="C961" s="611">
        <v>564</v>
      </c>
      <c r="D961" s="656" t="e">
        <f t="shared" ca="1" si="92"/>
        <v>#N/A</v>
      </c>
      <c r="E961" s="620"/>
      <c r="F961" s="620"/>
      <c r="G961" s="620"/>
      <c r="H961" s="620"/>
      <c r="I961" s="620"/>
      <c r="J961" s="620"/>
      <c r="K961" s="570"/>
      <c r="O961" s="1223"/>
      <c r="Q961" s="1222"/>
    </row>
    <row r="962" spans="2:17" x14ac:dyDescent="0.4">
      <c r="B962" s="130"/>
      <c r="C962" s="611">
        <v>565</v>
      </c>
      <c r="D962" s="656" t="e">
        <f t="shared" ca="1" si="92"/>
        <v>#N/A</v>
      </c>
      <c r="E962" s="620"/>
      <c r="F962" s="620"/>
      <c r="G962" s="620"/>
      <c r="H962" s="620"/>
      <c r="I962" s="620"/>
      <c r="J962" s="620"/>
      <c r="K962" s="570"/>
      <c r="O962" s="1223"/>
      <c r="Q962" s="1222"/>
    </row>
    <row r="963" spans="2:17" x14ac:dyDescent="0.4">
      <c r="B963" s="130"/>
      <c r="C963" s="611">
        <v>566</v>
      </c>
      <c r="D963" s="656" t="e">
        <f t="shared" ca="1" si="92"/>
        <v>#N/A</v>
      </c>
      <c r="E963" s="620"/>
      <c r="F963" s="620"/>
      <c r="G963" s="620"/>
      <c r="H963" s="620"/>
      <c r="I963" s="620"/>
      <c r="J963" s="620"/>
      <c r="K963" s="570"/>
      <c r="O963" s="1223"/>
      <c r="Q963" s="1222"/>
    </row>
    <row r="964" spans="2:17" x14ac:dyDescent="0.4">
      <c r="B964" s="130"/>
      <c r="C964" s="611">
        <v>567</v>
      </c>
      <c r="D964" s="656" t="e">
        <f t="shared" ca="1" si="92"/>
        <v>#N/A</v>
      </c>
      <c r="E964" s="620"/>
      <c r="F964" s="620"/>
      <c r="G964" s="620"/>
      <c r="H964" s="620"/>
      <c r="I964" s="620"/>
      <c r="J964" s="620"/>
      <c r="K964" s="570"/>
      <c r="O964" s="1223"/>
      <c r="Q964" s="1222"/>
    </row>
    <row r="965" spans="2:17" x14ac:dyDescent="0.4">
      <c r="B965" s="130"/>
      <c r="C965" s="611">
        <v>568</v>
      </c>
      <c r="D965" s="656" t="e">
        <f t="shared" ca="1" si="92"/>
        <v>#N/A</v>
      </c>
      <c r="E965" s="620"/>
      <c r="F965" s="620"/>
      <c r="G965" s="620"/>
      <c r="H965" s="620"/>
      <c r="I965" s="620"/>
      <c r="J965" s="620"/>
      <c r="K965" s="570"/>
      <c r="O965" s="1223"/>
      <c r="Q965" s="1222"/>
    </row>
    <row r="966" spans="2:17" x14ac:dyDescent="0.4">
      <c r="B966" s="130"/>
      <c r="C966" s="611">
        <v>569</v>
      </c>
      <c r="D966" s="656" t="e">
        <f t="shared" ca="1" si="92"/>
        <v>#N/A</v>
      </c>
      <c r="E966" s="620"/>
      <c r="F966" s="620"/>
      <c r="G966" s="620"/>
      <c r="H966" s="620"/>
      <c r="I966" s="620"/>
      <c r="J966" s="620"/>
      <c r="K966" s="570"/>
      <c r="O966" s="1223"/>
      <c r="Q966" s="1222"/>
    </row>
    <row r="967" spans="2:17" x14ac:dyDescent="0.4">
      <c r="B967" s="130"/>
      <c r="C967" s="611">
        <v>570</v>
      </c>
      <c r="D967" s="656" t="e">
        <f t="shared" ca="1" si="92"/>
        <v>#N/A</v>
      </c>
      <c r="E967" s="620"/>
      <c r="F967" s="620"/>
      <c r="G967" s="620"/>
      <c r="H967" s="620"/>
      <c r="I967" s="620"/>
      <c r="J967" s="620"/>
      <c r="K967" s="570"/>
      <c r="O967" s="1223"/>
      <c r="Q967" s="1222"/>
    </row>
    <row r="968" spans="2:17" x14ac:dyDescent="0.4">
      <c r="B968" s="130"/>
      <c r="C968" s="611">
        <v>571</v>
      </c>
      <c r="D968" s="656" t="e">
        <f t="shared" ca="1" si="92"/>
        <v>#N/A</v>
      </c>
      <c r="E968" s="620"/>
      <c r="F968" s="620"/>
      <c r="G968" s="620"/>
      <c r="H968" s="620"/>
      <c r="I968" s="620"/>
      <c r="J968" s="620"/>
      <c r="K968" s="570"/>
      <c r="O968" s="1223"/>
      <c r="Q968" s="1222"/>
    </row>
    <row r="969" spans="2:17" x14ac:dyDescent="0.4">
      <c r="B969" s="130"/>
      <c r="C969" s="611">
        <v>572</v>
      </c>
      <c r="D969" s="656" t="e">
        <f t="shared" ca="1" si="92"/>
        <v>#N/A</v>
      </c>
      <c r="E969" s="620"/>
      <c r="F969" s="620"/>
      <c r="G969" s="620"/>
      <c r="H969" s="620"/>
      <c r="I969" s="620"/>
      <c r="J969" s="620"/>
      <c r="K969" s="570"/>
      <c r="O969" s="1223"/>
      <c r="Q969" s="1222"/>
    </row>
    <row r="970" spans="2:17" x14ac:dyDescent="0.4">
      <c r="B970" s="130"/>
      <c r="C970" s="611">
        <v>573</v>
      </c>
      <c r="D970" s="656" t="e">
        <f t="shared" ca="1" si="92"/>
        <v>#N/A</v>
      </c>
      <c r="E970" s="620"/>
      <c r="F970" s="620"/>
      <c r="G970" s="620"/>
      <c r="H970" s="620"/>
      <c r="I970" s="620"/>
      <c r="J970" s="620"/>
      <c r="K970" s="570"/>
      <c r="O970" s="1223"/>
      <c r="Q970" s="1222"/>
    </row>
    <row r="971" spans="2:17" x14ac:dyDescent="0.4">
      <c r="B971" s="130"/>
      <c r="C971" s="611">
        <v>574</v>
      </c>
      <c r="D971" s="656" t="e">
        <f t="shared" ca="1" si="92"/>
        <v>#N/A</v>
      </c>
      <c r="E971" s="620"/>
      <c r="F971" s="620"/>
      <c r="G971" s="620"/>
      <c r="H971" s="620"/>
      <c r="I971" s="620"/>
      <c r="J971" s="620"/>
      <c r="K971" s="570"/>
      <c r="O971" s="1223"/>
      <c r="Q971" s="1222"/>
    </row>
    <row r="972" spans="2:17" x14ac:dyDescent="0.4">
      <c r="B972" s="130"/>
      <c r="C972" s="611">
        <v>575</v>
      </c>
      <c r="D972" s="656" t="e">
        <f t="shared" ca="1" si="92"/>
        <v>#N/A</v>
      </c>
      <c r="E972" s="620"/>
      <c r="F972" s="620"/>
      <c r="G972" s="620"/>
      <c r="H972" s="620"/>
      <c r="I972" s="620"/>
      <c r="J972" s="620"/>
      <c r="K972" s="570"/>
      <c r="O972" s="1223"/>
      <c r="Q972" s="1222"/>
    </row>
    <row r="973" spans="2:17" x14ac:dyDescent="0.4">
      <c r="B973" s="130"/>
      <c r="C973" s="611">
        <v>576</v>
      </c>
      <c r="D973" s="656" t="e">
        <f t="shared" ref="D973:D1036" ca="1" si="93">$C$376*C973</f>
        <v>#N/A</v>
      </c>
      <c r="E973" s="620"/>
      <c r="F973" s="620"/>
      <c r="G973" s="620"/>
      <c r="H973" s="620"/>
      <c r="I973" s="620"/>
      <c r="J973" s="620"/>
      <c r="K973" s="570"/>
      <c r="O973" s="1223"/>
      <c r="Q973" s="1222"/>
    </row>
    <row r="974" spans="2:17" x14ac:dyDescent="0.4">
      <c r="B974" s="130"/>
      <c r="C974" s="611">
        <v>577</v>
      </c>
      <c r="D974" s="656" t="e">
        <f t="shared" ca="1" si="93"/>
        <v>#N/A</v>
      </c>
      <c r="E974" s="620"/>
      <c r="F974" s="620"/>
      <c r="G974" s="620"/>
      <c r="H974" s="620"/>
      <c r="I974" s="620"/>
      <c r="J974" s="620"/>
      <c r="K974" s="570"/>
      <c r="O974" s="1223"/>
      <c r="Q974" s="1222"/>
    </row>
    <row r="975" spans="2:17" x14ac:dyDescent="0.4">
      <c r="B975" s="130"/>
      <c r="C975" s="611">
        <v>578</v>
      </c>
      <c r="D975" s="656" t="e">
        <f t="shared" ca="1" si="93"/>
        <v>#N/A</v>
      </c>
      <c r="E975" s="620"/>
      <c r="F975" s="620"/>
      <c r="G975" s="620"/>
      <c r="H975" s="620"/>
      <c r="I975" s="620"/>
      <c r="J975" s="620"/>
      <c r="K975" s="570"/>
      <c r="O975" s="1223"/>
      <c r="Q975" s="1222"/>
    </row>
    <row r="976" spans="2:17" x14ac:dyDescent="0.4">
      <c r="B976" s="130"/>
      <c r="C976" s="611">
        <v>579</v>
      </c>
      <c r="D976" s="656" t="e">
        <f t="shared" ca="1" si="93"/>
        <v>#N/A</v>
      </c>
      <c r="E976" s="620"/>
      <c r="F976" s="620"/>
      <c r="G976" s="620"/>
      <c r="H976" s="620"/>
      <c r="I976" s="620"/>
      <c r="J976" s="620"/>
      <c r="K976" s="570"/>
      <c r="O976" s="1223"/>
      <c r="Q976" s="1222"/>
    </row>
    <row r="977" spans="2:17" x14ac:dyDescent="0.4">
      <c r="B977" s="130"/>
      <c r="C977" s="611">
        <v>580</v>
      </c>
      <c r="D977" s="656" t="e">
        <f t="shared" ca="1" si="93"/>
        <v>#N/A</v>
      </c>
      <c r="E977" s="620"/>
      <c r="F977" s="620"/>
      <c r="G977" s="620"/>
      <c r="H977" s="620"/>
      <c r="I977" s="620"/>
      <c r="J977" s="620"/>
      <c r="K977" s="570"/>
      <c r="O977" s="1223"/>
      <c r="Q977" s="1222"/>
    </row>
    <row r="978" spans="2:17" x14ac:dyDescent="0.4">
      <c r="B978" s="130"/>
      <c r="C978" s="611">
        <v>581</v>
      </c>
      <c r="D978" s="656" t="e">
        <f t="shared" ca="1" si="93"/>
        <v>#N/A</v>
      </c>
      <c r="E978" s="620"/>
      <c r="F978" s="620"/>
      <c r="G978" s="620"/>
      <c r="H978" s="620"/>
      <c r="I978" s="620"/>
      <c r="J978" s="620"/>
      <c r="K978" s="570"/>
      <c r="O978" s="1223"/>
      <c r="Q978" s="1222"/>
    </row>
    <row r="979" spans="2:17" x14ac:dyDescent="0.4">
      <c r="B979" s="130"/>
      <c r="C979" s="611">
        <v>582</v>
      </c>
      <c r="D979" s="656" t="e">
        <f t="shared" ca="1" si="93"/>
        <v>#N/A</v>
      </c>
      <c r="E979" s="620"/>
      <c r="F979" s="620"/>
      <c r="G979" s="620"/>
      <c r="H979" s="620"/>
      <c r="I979" s="620"/>
      <c r="J979" s="620"/>
      <c r="K979" s="570"/>
      <c r="O979" s="1223"/>
      <c r="Q979" s="1222"/>
    </row>
    <row r="980" spans="2:17" x14ac:dyDescent="0.4">
      <c r="B980" s="130"/>
      <c r="C980" s="611">
        <v>583</v>
      </c>
      <c r="D980" s="656" t="e">
        <f t="shared" ca="1" si="93"/>
        <v>#N/A</v>
      </c>
      <c r="E980" s="620"/>
      <c r="F980" s="620"/>
      <c r="G980" s="620"/>
      <c r="H980" s="620"/>
      <c r="I980" s="620"/>
      <c r="J980" s="620"/>
      <c r="K980" s="570"/>
      <c r="O980" s="1223"/>
      <c r="Q980" s="1222"/>
    </row>
    <row r="981" spans="2:17" x14ac:dyDescent="0.4">
      <c r="B981" s="130"/>
      <c r="C981" s="611">
        <v>584</v>
      </c>
      <c r="D981" s="656" t="e">
        <f t="shared" ca="1" si="93"/>
        <v>#N/A</v>
      </c>
      <c r="E981" s="620"/>
      <c r="F981" s="620"/>
      <c r="G981" s="620"/>
      <c r="H981" s="620"/>
      <c r="I981" s="620"/>
      <c r="J981" s="620"/>
      <c r="K981" s="570"/>
      <c r="O981" s="1223"/>
      <c r="Q981" s="1222"/>
    </row>
    <row r="982" spans="2:17" x14ac:dyDescent="0.4">
      <c r="B982" s="130"/>
      <c r="C982" s="611">
        <v>585</v>
      </c>
      <c r="D982" s="656" t="e">
        <f t="shared" ca="1" si="93"/>
        <v>#N/A</v>
      </c>
      <c r="E982" s="620"/>
      <c r="F982" s="620"/>
      <c r="G982" s="620"/>
      <c r="H982" s="620"/>
      <c r="I982" s="620"/>
      <c r="J982" s="620"/>
      <c r="K982" s="570"/>
      <c r="O982" s="1223"/>
      <c r="Q982" s="1222"/>
    </row>
    <row r="983" spans="2:17" x14ac:dyDescent="0.4">
      <c r="B983" s="130"/>
      <c r="C983" s="611">
        <v>586</v>
      </c>
      <c r="D983" s="656" t="e">
        <f t="shared" ca="1" si="93"/>
        <v>#N/A</v>
      </c>
      <c r="E983" s="620"/>
      <c r="F983" s="620"/>
      <c r="G983" s="620"/>
      <c r="H983" s="620"/>
      <c r="I983" s="620"/>
      <c r="J983" s="620"/>
      <c r="K983" s="570"/>
      <c r="O983" s="1223"/>
      <c r="Q983" s="1222"/>
    </row>
    <row r="984" spans="2:17" x14ac:dyDescent="0.4">
      <c r="B984" s="130"/>
      <c r="C984" s="611">
        <v>587</v>
      </c>
      <c r="D984" s="656" t="e">
        <f t="shared" ca="1" si="93"/>
        <v>#N/A</v>
      </c>
      <c r="E984" s="620"/>
      <c r="F984" s="620"/>
      <c r="G984" s="620"/>
      <c r="H984" s="620"/>
      <c r="I984" s="620"/>
      <c r="J984" s="620"/>
      <c r="K984" s="570"/>
      <c r="O984" s="1223"/>
      <c r="Q984" s="1222"/>
    </row>
    <row r="985" spans="2:17" x14ac:dyDescent="0.4">
      <c r="B985" s="130"/>
      <c r="C985" s="611">
        <v>588</v>
      </c>
      <c r="D985" s="656" t="e">
        <f t="shared" ca="1" si="93"/>
        <v>#N/A</v>
      </c>
      <c r="E985" s="620"/>
      <c r="F985" s="620"/>
      <c r="G985" s="620"/>
      <c r="H985" s="620"/>
      <c r="I985" s="620"/>
      <c r="J985" s="620"/>
      <c r="K985" s="570"/>
      <c r="O985" s="1223"/>
      <c r="Q985" s="1222"/>
    </row>
    <row r="986" spans="2:17" x14ac:dyDescent="0.4">
      <c r="B986" s="130"/>
      <c r="C986" s="611">
        <v>589</v>
      </c>
      <c r="D986" s="656" t="e">
        <f t="shared" ca="1" si="93"/>
        <v>#N/A</v>
      </c>
      <c r="E986" s="620"/>
      <c r="F986" s="620"/>
      <c r="G986" s="620"/>
      <c r="H986" s="620"/>
      <c r="I986" s="620"/>
      <c r="J986" s="620"/>
      <c r="K986" s="570"/>
      <c r="O986" s="1223"/>
      <c r="Q986" s="1222"/>
    </row>
    <row r="987" spans="2:17" x14ac:dyDescent="0.4">
      <c r="B987" s="130"/>
      <c r="C987" s="611">
        <v>590</v>
      </c>
      <c r="D987" s="656" t="e">
        <f t="shared" ca="1" si="93"/>
        <v>#N/A</v>
      </c>
      <c r="E987" s="620"/>
      <c r="F987" s="620"/>
      <c r="G987" s="620"/>
      <c r="H987" s="620"/>
      <c r="I987" s="620"/>
      <c r="J987" s="620"/>
      <c r="K987" s="570"/>
      <c r="O987" s="1223"/>
      <c r="Q987" s="1222"/>
    </row>
    <row r="988" spans="2:17" x14ac:dyDescent="0.4">
      <c r="B988" s="130"/>
      <c r="C988" s="611">
        <v>591</v>
      </c>
      <c r="D988" s="656" t="e">
        <f t="shared" ca="1" si="93"/>
        <v>#N/A</v>
      </c>
      <c r="E988" s="620"/>
      <c r="F988" s="620"/>
      <c r="G988" s="620"/>
      <c r="H988" s="620"/>
      <c r="I988" s="620"/>
      <c r="J988" s="620"/>
      <c r="K988" s="570"/>
      <c r="O988" s="1223"/>
      <c r="Q988" s="1222"/>
    </row>
    <row r="989" spans="2:17" x14ac:dyDescent="0.4">
      <c r="B989" s="130"/>
      <c r="C989" s="611">
        <v>592</v>
      </c>
      <c r="D989" s="656" t="e">
        <f t="shared" ca="1" si="93"/>
        <v>#N/A</v>
      </c>
      <c r="E989" s="620"/>
      <c r="F989" s="620"/>
      <c r="G989" s="620"/>
      <c r="H989" s="620"/>
      <c r="I989" s="620"/>
      <c r="J989" s="620"/>
      <c r="K989" s="570"/>
      <c r="O989" s="1223"/>
      <c r="Q989" s="1222"/>
    </row>
    <row r="990" spans="2:17" x14ac:dyDescent="0.4">
      <c r="B990" s="130"/>
      <c r="C990" s="611">
        <v>593</v>
      </c>
      <c r="D990" s="656" t="e">
        <f t="shared" ca="1" si="93"/>
        <v>#N/A</v>
      </c>
      <c r="E990" s="620"/>
      <c r="F990" s="620"/>
      <c r="G990" s="620"/>
      <c r="H990" s="620"/>
      <c r="I990" s="620"/>
      <c r="J990" s="620"/>
      <c r="K990" s="570"/>
      <c r="O990" s="1223"/>
      <c r="Q990" s="1222"/>
    </row>
    <row r="991" spans="2:17" x14ac:dyDescent="0.4">
      <c r="B991" s="130"/>
      <c r="C991" s="611">
        <v>594</v>
      </c>
      <c r="D991" s="656" t="e">
        <f t="shared" ca="1" si="93"/>
        <v>#N/A</v>
      </c>
      <c r="E991" s="620"/>
      <c r="F991" s="620"/>
      <c r="G991" s="620"/>
      <c r="H991" s="620"/>
      <c r="I991" s="620"/>
      <c r="J991" s="620"/>
      <c r="K991" s="570"/>
      <c r="O991" s="1223"/>
      <c r="Q991" s="1222"/>
    </row>
    <row r="992" spans="2:17" x14ac:dyDescent="0.4">
      <c r="B992" s="130"/>
      <c r="C992" s="611">
        <v>595</v>
      </c>
      <c r="D992" s="656" t="e">
        <f t="shared" ca="1" si="93"/>
        <v>#N/A</v>
      </c>
      <c r="E992" s="620"/>
      <c r="F992" s="620"/>
      <c r="G992" s="620"/>
      <c r="H992" s="620"/>
      <c r="I992" s="620"/>
      <c r="J992" s="620"/>
      <c r="K992" s="570"/>
      <c r="O992" s="1223"/>
      <c r="Q992" s="1222"/>
    </row>
    <row r="993" spans="2:17" x14ac:dyDescent="0.4">
      <c r="B993" s="130"/>
      <c r="C993" s="611">
        <v>596</v>
      </c>
      <c r="D993" s="656" t="e">
        <f t="shared" ca="1" si="93"/>
        <v>#N/A</v>
      </c>
      <c r="E993" s="620"/>
      <c r="F993" s="620"/>
      <c r="G993" s="620"/>
      <c r="H993" s="620"/>
      <c r="I993" s="620"/>
      <c r="J993" s="620"/>
      <c r="K993" s="570"/>
      <c r="O993" s="1223"/>
      <c r="Q993" s="1222"/>
    </row>
    <row r="994" spans="2:17" x14ac:dyDescent="0.4">
      <c r="B994" s="130"/>
      <c r="C994" s="611">
        <v>597</v>
      </c>
      <c r="D994" s="656" t="e">
        <f t="shared" ca="1" si="93"/>
        <v>#N/A</v>
      </c>
      <c r="E994" s="620"/>
      <c r="F994" s="620"/>
      <c r="G994" s="620"/>
      <c r="H994" s="620"/>
      <c r="I994" s="620"/>
      <c r="J994" s="620"/>
      <c r="K994" s="570"/>
      <c r="O994" s="1223"/>
      <c r="Q994" s="1222"/>
    </row>
    <row r="995" spans="2:17" x14ac:dyDescent="0.4">
      <c r="B995" s="130"/>
      <c r="C995" s="611">
        <v>598</v>
      </c>
      <c r="D995" s="656" t="e">
        <f t="shared" ca="1" si="93"/>
        <v>#N/A</v>
      </c>
      <c r="E995" s="620"/>
      <c r="F995" s="620"/>
      <c r="G995" s="620"/>
      <c r="H995" s="620"/>
      <c r="I995" s="620"/>
      <c r="J995" s="620"/>
      <c r="K995" s="570"/>
      <c r="O995" s="1223"/>
      <c r="Q995" s="1222"/>
    </row>
    <row r="996" spans="2:17" x14ac:dyDescent="0.4">
      <c r="B996" s="130"/>
      <c r="C996" s="611">
        <v>599</v>
      </c>
      <c r="D996" s="656" t="e">
        <f t="shared" ca="1" si="93"/>
        <v>#N/A</v>
      </c>
      <c r="E996" s="620"/>
      <c r="F996" s="620"/>
      <c r="G996" s="620"/>
      <c r="H996" s="620"/>
      <c r="I996" s="620"/>
      <c r="J996" s="620"/>
      <c r="K996" s="570"/>
      <c r="O996" s="1223"/>
      <c r="Q996" s="1222"/>
    </row>
    <row r="997" spans="2:17" x14ac:dyDescent="0.4">
      <c r="B997" s="130"/>
      <c r="C997" s="611">
        <v>600</v>
      </c>
      <c r="D997" s="656" t="e">
        <f t="shared" ca="1" si="93"/>
        <v>#N/A</v>
      </c>
      <c r="E997" s="620"/>
      <c r="F997" s="620"/>
      <c r="G997" s="620"/>
      <c r="H997" s="620"/>
      <c r="I997" s="620"/>
      <c r="J997" s="620"/>
      <c r="K997" s="570"/>
      <c r="O997" s="1223"/>
      <c r="Q997" s="1222"/>
    </row>
    <row r="998" spans="2:17" x14ac:dyDescent="0.4">
      <c r="B998" s="130"/>
      <c r="C998" s="611">
        <v>601</v>
      </c>
      <c r="D998" s="656" t="e">
        <f t="shared" ca="1" si="93"/>
        <v>#N/A</v>
      </c>
      <c r="E998" s="620"/>
      <c r="F998" s="620"/>
      <c r="G998" s="620"/>
      <c r="H998" s="620"/>
      <c r="I998" s="620"/>
      <c r="J998" s="620"/>
      <c r="K998" s="570"/>
      <c r="O998" s="1223"/>
      <c r="Q998" s="1222"/>
    </row>
    <row r="999" spans="2:17" x14ac:dyDescent="0.4">
      <c r="B999" s="130"/>
      <c r="C999" s="611">
        <v>602</v>
      </c>
      <c r="D999" s="656" t="e">
        <f t="shared" ca="1" si="93"/>
        <v>#N/A</v>
      </c>
      <c r="E999" s="620"/>
      <c r="F999" s="620"/>
      <c r="G999" s="620"/>
      <c r="H999" s="620"/>
      <c r="I999" s="620"/>
      <c r="J999" s="620"/>
      <c r="K999" s="570"/>
      <c r="O999" s="1223"/>
      <c r="Q999" s="1222"/>
    </row>
    <row r="1000" spans="2:17" x14ac:dyDescent="0.4">
      <c r="B1000" s="130"/>
      <c r="C1000" s="611">
        <v>603</v>
      </c>
      <c r="D1000" s="656" t="e">
        <f t="shared" ca="1" si="93"/>
        <v>#N/A</v>
      </c>
      <c r="E1000" s="620"/>
      <c r="F1000" s="620"/>
      <c r="G1000" s="620"/>
      <c r="H1000" s="620"/>
      <c r="I1000" s="620"/>
      <c r="J1000" s="620"/>
      <c r="K1000" s="570"/>
      <c r="O1000" s="1223"/>
      <c r="Q1000" s="1222"/>
    </row>
    <row r="1001" spans="2:17" x14ac:dyDescent="0.4">
      <c r="B1001" s="130"/>
      <c r="C1001" s="611">
        <v>604</v>
      </c>
      <c r="D1001" s="656" t="e">
        <f t="shared" ca="1" si="93"/>
        <v>#N/A</v>
      </c>
      <c r="E1001" s="620"/>
      <c r="F1001" s="620"/>
      <c r="G1001" s="620"/>
      <c r="H1001" s="620"/>
      <c r="I1001" s="620"/>
      <c r="J1001" s="620"/>
      <c r="K1001" s="570"/>
      <c r="O1001" s="1223"/>
      <c r="Q1001" s="1222"/>
    </row>
    <row r="1002" spans="2:17" x14ac:dyDescent="0.4">
      <c r="B1002" s="130"/>
      <c r="C1002" s="611">
        <v>605</v>
      </c>
      <c r="D1002" s="656" t="e">
        <f t="shared" ca="1" si="93"/>
        <v>#N/A</v>
      </c>
      <c r="E1002" s="620"/>
      <c r="F1002" s="620"/>
      <c r="G1002" s="620"/>
      <c r="H1002" s="620"/>
      <c r="I1002" s="620"/>
      <c r="J1002" s="620"/>
      <c r="K1002" s="570"/>
      <c r="O1002" s="1223"/>
      <c r="Q1002" s="1222"/>
    </row>
    <row r="1003" spans="2:17" x14ac:dyDescent="0.4">
      <c r="B1003" s="130"/>
      <c r="C1003" s="611">
        <v>606</v>
      </c>
      <c r="D1003" s="656" t="e">
        <f t="shared" ca="1" si="93"/>
        <v>#N/A</v>
      </c>
      <c r="E1003" s="620"/>
      <c r="F1003" s="620"/>
      <c r="G1003" s="620"/>
      <c r="H1003" s="620"/>
      <c r="I1003" s="620"/>
      <c r="J1003" s="620"/>
      <c r="K1003" s="570"/>
      <c r="O1003" s="1223"/>
      <c r="Q1003" s="1222"/>
    </row>
    <row r="1004" spans="2:17" x14ac:dyDescent="0.4">
      <c r="B1004" s="130"/>
      <c r="C1004" s="611">
        <v>607</v>
      </c>
      <c r="D1004" s="656" t="e">
        <f t="shared" ca="1" si="93"/>
        <v>#N/A</v>
      </c>
      <c r="E1004" s="620"/>
      <c r="F1004" s="620"/>
      <c r="G1004" s="620"/>
      <c r="H1004" s="620"/>
      <c r="I1004" s="620"/>
      <c r="J1004" s="620"/>
      <c r="K1004" s="570"/>
      <c r="O1004" s="1223"/>
      <c r="Q1004" s="1222"/>
    </row>
    <row r="1005" spans="2:17" x14ac:dyDescent="0.4">
      <c r="B1005" s="130"/>
      <c r="C1005" s="611">
        <v>608</v>
      </c>
      <c r="D1005" s="656" t="e">
        <f t="shared" ca="1" si="93"/>
        <v>#N/A</v>
      </c>
      <c r="E1005" s="620"/>
      <c r="F1005" s="620"/>
      <c r="G1005" s="620"/>
      <c r="H1005" s="620"/>
      <c r="I1005" s="620"/>
      <c r="J1005" s="620"/>
      <c r="K1005" s="570"/>
      <c r="O1005" s="1223"/>
      <c r="Q1005" s="1222"/>
    </row>
    <row r="1006" spans="2:17" x14ac:dyDescent="0.4">
      <c r="B1006" s="130"/>
      <c r="C1006" s="611">
        <v>609</v>
      </c>
      <c r="D1006" s="656" t="e">
        <f t="shared" ca="1" si="93"/>
        <v>#N/A</v>
      </c>
      <c r="E1006" s="620"/>
      <c r="F1006" s="620"/>
      <c r="G1006" s="620"/>
      <c r="H1006" s="620"/>
      <c r="I1006" s="620"/>
      <c r="J1006" s="620"/>
      <c r="K1006" s="570"/>
      <c r="O1006" s="1223"/>
      <c r="Q1006" s="1222"/>
    </row>
    <row r="1007" spans="2:17" x14ac:dyDescent="0.4">
      <c r="B1007" s="130"/>
      <c r="C1007" s="611">
        <v>610</v>
      </c>
      <c r="D1007" s="656" t="e">
        <f t="shared" ca="1" si="93"/>
        <v>#N/A</v>
      </c>
      <c r="E1007" s="620"/>
      <c r="F1007" s="620"/>
      <c r="G1007" s="620"/>
      <c r="H1007" s="620"/>
      <c r="I1007" s="620"/>
      <c r="J1007" s="620"/>
      <c r="K1007" s="570"/>
      <c r="O1007" s="1223"/>
      <c r="Q1007" s="1222"/>
    </row>
    <row r="1008" spans="2:17" x14ac:dyDescent="0.4">
      <c r="B1008" s="130"/>
      <c r="C1008" s="611">
        <v>611</v>
      </c>
      <c r="D1008" s="656" t="e">
        <f t="shared" ca="1" si="93"/>
        <v>#N/A</v>
      </c>
      <c r="E1008" s="620"/>
      <c r="F1008" s="620"/>
      <c r="G1008" s="620"/>
      <c r="H1008" s="620"/>
      <c r="I1008" s="620"/>
      <c r="J1008" s="620"/>
      <c r="K1008" s="570"/>
      <c r="O1008" s="1223"/>
      <c r="Q1008" s="1222"/>
    </row>
    <row r="1009" spans="2:17" x14ac:dyDescent="0.4">
      <c r="B1009" s="130"/>
      <c r="C1009" s="611">
        <v>612</v>
      </c>
      <c r="D1009" s="656" t="e">
        <f t="shared" ca="1" si="93"/>
        <v>#N/A</v>
      </c>
      <c r="E1009" s="620"/>
      <c r="F1009" s="620"/>
      <c r="G1009" s="620"/>
      <c r="H1009" s="620"/>
      <c r="I1009" s="620"/>
      <c r="J1009" s="620"/>
      <c r="K1009" s="570"/>
      <c r="O1009" s="1223"/>
      <c r="Q1009" s="1222"/>
    </row>
    <row r="1010" spans="2:17" x14ac:dyDescent="0.4">
      <c r="B1010" s="130"/>
      <c r="C1010" s="611">
        <v>613</v>
      </c>
      <c r="D1010" s="656" t="e">
        <f t="shared" ca="1" si="93"/>
        <v>#N/A</v>
      </c>
      <c r="E1010" s="620"/>
      <c r="F1010" s="620"/>
      <c r="G1010" s="620"/>
      <c r="H1010" s="620"/>
      <c r="I1010" s="620"/>
      <c r="J1010" s="620"/>
      <c r="K1010" s="570"/>
      <c r="O1010" s="1223"/>
      <c r="Q1010" s="1222"/>
    </row>
    <row r="1011" spans="2:17" x14ac:dyDescent="0.4">
      <c r="B1011" s="130"/>
      <c r="C1011" s="611">
        <v>614</v>
      </c>
      <c r="D1011" s="656" t="e">
        <f t="shared" ca="1" si="93"/>
        <v>#N/A</v>
      </c>
      <c r="E1011" s="620"/>
      <c r="F1011" s="620"/>
      <c r="G1011" s="620"/>
      <c r="H1011" s="620"/>
      <c r="I1011" s="620"/>
      <c r="J1011" s="620"/>
      <c r="K1011" s="570"/>
      <c r="O1011" s="1223"/>
      <c r="Q1011" s="1222"/>
    </row>
    <row r="1012" spans="2:17" x14ac:dyDescent="0.4">
      <c r="B1012" s="130"/>
      <c r="C1012" s="611">
        <v>615</v>
      </c>
      <c r="D1012" s="656" t="e">
        <f t="shared" ca="1" si="93"/>
        <v>#N/A</v>
      </c>
      <c r="E1012" s="620"/>
      <c r="F1012" s="620"/>
      <c r="G1012" s="620"/>
      <c r="H1012" s="620"/>
      <c r="I1012" s="620"/>
      <c r="J1012" s="620"/>
      <c r="K1012" s="570"/>
      <c r="O1012" s="1223"/>
      <c r="Q1012" s="1222"/>
    </row>
    <row r="1013" spans="2:17" x14ac:dyDescent="0.4">
      <c r="B1013" s="130"/>
      <c r="C1013" s="611">
        <v>616</v>
      </c>
      <c r="D1013" s="656" t="e">
        <f t="shared" ca="1" si="93"/>
        <v>#N/A</v>
      </c>
      <c r="E1013" s="620"/>
      <c r="F1013" s="620"/>
      <c r="G1013" s="620"/>
      <c r="H1013" s="620"/>
      <c r="I1013" s="620"/>
      <c r="J1013" s="620"/>
      <c r="K1013" s="570"/>
      <c r="O1013" s="1223"/>
      <c r="Q1013" s="1222"/>
    </row>
    <row r="1014" spans="2:17" x14ac:dyDescent="0.4">
      <c r="B1014" s="130"/>
      <c r="C1014" s="611">
        <v>617</v>
      </c>
      <c r="D1014" s="656" t="e">
        <f t="shared" ca="1" si="93"/>
        <v>#N/A</v>
      </c>
      <c r="E1014" s="620"/>
      <c r="F1014" s="620"/>
      <c r="G1014" s="620"/>
      <c r="H1014" s="620"/>
      <c r="I1014" s="620"/>
      <c r="J1014" s="620"/>
      <c r="K1014" s="570"/>
      <c r="O1014" s="1223"/>
      <c r="Q1014" s="1222"/>
    </row>
    <row r="1015" spans="2:17" x14ac:dyDescent="0.4">
      <c r="B1015" s="130"/>
      <c r="C1015" s="611">
        <v>618</v>
      </c>
      <c r="D1015" s="656" t="e">
        <f t="shared" ca="1" si="93"/>
        <v>#N/A</v>
      </c>
      <c r="E1015" s="620"/>
      <c r="F1015" s="620"/>
      <c r="G1015" s="620"/>
      <c r="H1015" s="620"/>
      <c r="I1015" s="620"/>
      <c r="J1015" s="620"/>
      <c r="K1015" s="570"/>
      <c r="O1015" s="1223"/>
      <c r="Q1015" s="1222"/>
    </row>
    <row r="1016" spans="2:17" x14ac:dyDescent="0.4">
      <c r="B1016" s="130"/>
      <c r="C1016" s="611">
        <v>619</v>
      </c>
      <c r="D1016" s="656" t="e">
        <f t="shared" ca="1" si="93"/>
        <v>#N/A</v>
      </c>
      <c r="E1016" s="620"/>
      <c r="F1016" s="620"/>
      <c r="G1016" s="620"/>
      <c r="H1016" s="620"/>
      <c r="I1016" s="620"/>
      <c r="J1016" s="620"/>
      <c r="K1016" s="570"/>
      <c r="O1016" s="1223"/>
      <c r="Q1016" s="1222"/>
    </row>
    <row r="1017" spans="2:17" x14ac:dyDescent="0.4">
      <c r="B1017" s="130"/>
      <c r="C1017" s="611">
        <v>620</v>
      </c>
      <c r="D1017" s="656" t="e">
        <f t="shared" ca="1" si="93"/>
        <v>#N/A</v>
      </c>
      <c r="E1017" s="620"/>
      <c r="F1017" s="620"/>
      <c r="G1017" s="620"/>
      <c r="H1017" s="620"/>
      <c r="I1017" s="620"/>
      <c r="J1017" s="620"/>
      <c r="K1017" s="570"/>
      <c r="O1017" s="1223"/>
      <c r="Q1017" s="1222"/>
    </row>
    <row r="1018" spans="2:17" x14ac:dyDescent="0.4">
      <c r="B1018" s="130"/>
      <c r="C1018" s="611">
        <v>621</v>
      </c>
      <c r="D1018" s="656" t="e">
        <f t="shared" ca="1" si="93"/>
        <v>#N/A</v>
      </c>
      <c r="E1018" s="620"/>
      <c r="F1018" s="620"/>
      <c r="G1018" s="620"/>
      <c r="H1018" s="620"/>
      <c r="I1018" s="620"/>
      <c r="J1018" s="620"/>
      <c r="K1018" s="570"/>
      <c r="O1018" s="1223"/>
      <c r="Q1018" s="1222"/>
    </row>
    <row r="1019" spans="2:17" x14ac:dyDescent="0.4">
      <c r="B1019" s="130"/>
      <c r="C1019" s="611">
        <v>622</v>
      </c>
      <c r="D1019" s="656" t="e">
        <f t="shared" ca="1" si="93"/>
        <v>#N/A</v>
      </c>
      <c r="E1019" s="620"/>
      <c r="F1019" s="620"/>
      <c r="G1019" s="620"/>
      <c r="H1019" s="620"/>
      <c r="I1019" s="620"/>
      <c r="J1019" s="620"/>
      <c r="K1019" s="570"/>
      <c r="O1019" s="1223"/>
      <c r="Q1019" s="1222"/>
    </row>
    <row r="1020" spans="2:17" x14ac:dyDescent="0.4">
      <c r="B1020" s="130"/>
      <c r="C1020" s="611">
        <v>623</v>
      </c>
      <c r="D1020" s="656" t="e">
        <f t="shared" ca="1" si="93"/>
        <v>#N/A</v>
      </c>
      <c r="E1020" s="620"/>
      <c r="F1020" s="620"/>
      <c r="G1020" s="620"/>
      <c r="H1020" s="620"/>
      <c r="I1020" s="620"/>
      <c r="J1020" s="620"/>
      <c r="K1020" s="570"/>
      <c r="O1020" s="1223"/>
      <c r="Q1020" s="1222"/>
    </row>
    <row r="1021" spans="2:17" x14ac:dyDescent="0.4">
      <c r="B1021" s="130"/>
      <c r="C1021" s="611">
        <v>624</v>
      </c>
      <c r="D1021" s="656" t="e">
        <f t="shared" ca="1" si="93"/>
        <v>#N/A</v>
      </c>
      <c r="E1021" s="620"/>
      <c r="F1021" s="620"/>
      <c r="G1021" s="620"/>
      <c r="H1021" s="620"/>
      <c r="I1021" s="620"/>
      <c r="J1021" s="620"/>
      <c r="K1021" s="570"/>
      <c r="O1021" s="1223"/>
      <c r="Q1021" s="1222"/>
    </row>
    <row r="1022" spans="2:17" x14ac:dyDescent="0.4">
      <c r="B1022" s="130"/>
      <c r="C1022" s="611">
        <v>625</v>
      </c>
      <c r="D1022" s="656" t="e">
        <f t="shared" ca="1" si="93"/>
        <v>#N/A</v>
      </c>
      <c r="E1022" s="620"/>
      <c r="F1022" s="620"/>
      <c r="G1022" s="620"/>
      <c r="H1022" s="620"/>
      <c r="I1022" s="620"/>
      <c r="J1022" s="620"/>
      <c r="K1022" s="570"/>
      <c r="O1022" s="1223"/>
      <c r="Q1022" s="1222"/>
    </row>
    <row r="1023" spans="2:17" x14ac:dyDescent="0.4">
      <c r="B1023" s="130"/>
      <c r="C1023" s="611">
        <v>626</v>
      </c>
      <c r="D1023" s="656" t="e">
        <f t="shared" ca="1" si="93"/>
        <v>#N/A</v>
      </c>
      <c r="E1023" s="620"/>
      <c r="F1023" s="620"/>
      <c r="G1023" s="620"/>
      <c r="H1023" s="620"/>
      <c r="I1023" s="620"/>
      <c r="J1023" s="620"/>
      <c r="K1023" s="570"/>
      <c r="O1023" s="1223"/>
      <c r="Q1023" s="1222"/>
    </row>
    <row r="1024" spans="2:17" x14ac:dyDescent="0.4">
      <c r="B1024" s="130"/>
      <c r="C1024" s="611">
        <v>627</v>
      </c>
      <c r="D1024" s="656" t="e">
        <f t="shared" ca="1" si="93"/>
        <v>#N/A</v>
      </c>
      <c r="E1024" s="620"/>
      <c r="F1024" s="620"/>
      <c r="G1024" s="620"/>
      <c r="H1024" s="620"/>
      <c r="I1024" s="620"/>
      <c r="J1024" s="620"/>
      <c r="K1024" s="570"/>
      <c r="O1024" s="1223"/>
      <c r="Q1024" s="1222"/>
    </row>
    <row r="1025" spans="2:17" x14ac:dyDescent="0.4">
      <c r="B1025" s="130"/>
      <c r="C1025" s="611">
        <v>628</v>
      </c>
      <c r="D1025" s="656" t="e">
        <f t="shared" ca="1" si="93"/>
        <v>#N/A</v>
      </c>
      <c r="E1025" s="620"/>
      <c r="F1025" s="620"/>
      <c r="G1025" s="620"/>
      <c r="H1025" s="620"/>
      <c r="I1025" s="620"/>
      <c r="J1025" s="620"/>
      <c r="K1025" s="570"/>
      <c r="O1025" s="1223"/>
      <c r="Q1025" s="1222"/>
    </row>
    <row r="1026" spans="2:17" x14ac:dyDescent="0.4">
      <c r="B1026" s="130"/>
      <c r="C1026" s="611">
        <v>629</v>
      </c>
      <c r="D1026" s="656" t="e">
        <f t="shared" ca="1" si="93"/>
        <v>#N/A</v>
      </c>
      <c r="E1026" s="620"/>
      <c r="F1026" s="620"/>
      <c r="G1026" s="620"/>
      <c r="H1026" s="620"/>
      <c r="I1026" s="620"/>
      <c r="J1026" s="620"/>
      <c r="K1026" s="570"/>
      <c r="O1026" s="1223"/>
      <c r="Q1026" s="1222"/>
    </row>
    <row r="1027" spans="2:17" x14ac:dyDescent="0.4">
      <c r="B1027" s="130"/>
      <c r="C1027" s="611">
        <v>630</v>
      </c>
      <c r="D1027" s="656" t="e">
        <f t="shared" ca="1" si="93"/>
        <v>#N/A</v>
      </c>
      <c r="E1027" s="620"/>
      <c r="F1027" s="620"/>
      <c r="G1027" s="620"/>
      <c r="H1027" s="620"/>
      <c r="I1027" s="620"/>
      <c r="J1027" s="620"/>
      <c r="K1027" s="570"/>
      <c r="O1027" s="1223"/>
      <c r="Q1027" s="1222"/>
    </row>
    <row r="1028" spans="2:17" x14ac:dyDescent="0.4">
      <c r="B1028" s="130"/>
      <c r="C1028" s="611">
        <v>631</v>
      </c>
      <c r="D1028" s="656" t="e">
        <f t="shared" ca="1" si="93"/>
        <v>#N/A</v>
      </c>
      <c r="E1028" s="620"/>
      <c r="F1028" s="620"/>
      <c r="G1028" s="620"/>
      <c r="H1028" s="620"/>
      <c r="I1028" s="620"/>
      <c r="J1028" s="620"/>
      <c r="K1028" s="570"/>
      <c r="O1028" s="1223"/>
      <c r="Q1028" s="1222"/>
    </row>
    <row r="1029" spans="2:17" x14ac:dyDescent="0.4">
      <c r="B1029" s="130"/>
      <c r="C1029" s="611">
        <v>632</v>
      </c>
      <c r="D1029" s="656" t="e">
        <f t="shared" ca="1" si="93"/>
        <v>#N/A</v>
      </c>
      <c r="E1029" s="620"/>
      <c r="F1029" s="620"/>
      <c r="G1029" s="620"/>
      <c r="H1029" s="620"/>
      <c r="I1029" s="620"/>
      <c r="J1029" s="620"/>
      <c r="K1029" s="570"/>
      <c r="O1029" s="1223"/>
      <c r="Q1029" s="1222"/>
    </row>
    <row r="1030" spans="2:17" x14ac:dyDescent="0.4">
      <c r="B1030" s="130"/>
      <c r="C1030" s="611">
        <v>633</v>
      </c>
      <c r="D1030" s="656" t="e">
        <f t="shared" ca="1" si="93"/>
        <v>#N/A</v>
      </c>
      <c r="E1030" s="620"/>
      <c r="F1030" s="620"/>
      <c r="G1030" s="620"/>
      <c r="H1030" s="620"/>
      <c r="I1030" s="620"/>
      <c r="J1030" s="620"/>
      <c r="K1030" s="570"/>
      <c r="O1030" s="1223"/>
      <c r="Q1030" s="1222"/>
    </row>
    <row r="1031" spans="2:17" x14ac:dyDescent="0.4">
      <c r="B1031" s="130"/>
      <c r="C1031" s="611">
        <v>634</v>
      </c>
      <c r="D1031" s="656" t="e">
        <f t="shared" ca="1" si="93"/>
        <v>#N/A</v>
      </c>
      <c r="E1031" s="620"/>
      <c r="F1031" s="620"/>
      <c r="G1031" s="620"/>
      <c r="H1031" s="620"/>
      <c r="I1031" s="620"/>
      <c r="J1031" s="620"/>
      <c r="K1031" s="570"/>
      <c r="O1031" s="1223"/>
      <c r="Q1031" s="1222"/>
    </row>
    <row r="1032" spans="2:17" x14ac:dyDescent="0.4">
      <c r="B1032" s="130"/>
      <c r="C1032" s="611">
        <v>635</v>
      </c>
      <c r="D1032" s="656" t="e">
        <f t="shared" ca="1" si="93"/>
        <v>#N/A</v>
      </c>
      <c r="E1032" s="620"/>
      <c r="F1032" s="620"/>
      <c r="G1032" s="620"/>
      <c r="H1032" s="620"/>
      <c r="I1032" s="620"/>
      <c r="J1032" s="620"/>
      <c r="K1032" s="570"/>
      <c r="O1032" s="1223"/>
      <c r="Q1032" s="1222"/>
    </row>
    <row r="1033" spans="2:17" x14ac:dyDescent="0.4">
      <c r="B1033" s="130"/>
      <c r="C1033" s="611">
        <v>636</v>
      </c>
      <c r="D1033" s="656" t="e">
        <f t="shared" ca="1" si="93"/>
        <v>#N/A</v>
      </c>
      <c r="E1033" s="620"/>
      <c r="F1033" s="620"/>
      <c r="G1033" s="620"/>
      <c r="H1033" s="620"/>
      <c r="I1033" s="620"/>
      <c r="J1033" s="620"/>
      <c r="K1033" s="570"/>
      <c r="O1033" s="1223"/>
      <c r="Q1033" s="1222"/>
    </row>
    <row r="1034" spans="2:17" x14ac:dyDescent="0.4">
      <c r="B1034" s="130"/>
      <c r="C1034" s="611">
        <v>637</v>
      </c>
      <c r="D1034" s="656" t="e">
        <f t="shared" ca="1" si="93"/>
        <v>#N/A</v>
      </c>
      <c r="E1034" s="620"/>
      <c r="F1034" s="620"/>
      <c r="G1034" s="620"/>
      <c r="H1034" s="620"/>
      <c r="I1034" s="620"/>
      <c r="J1034" s="620"/>
      <c r="K1034" s="570"/>
      <c r="O1034" s="1223"/>
      <c r="Q1034" s="1222"/>
    </row>
    <row r="1035" spans="2:17" x14ac:dyDescent="0.4">
      <c r="B1035" s="130"/>
      <c r="C1035" s="611">
        <v>638</v>
      </c>
      <c r="D1035" s="656" t="e">
        <f t="shared" ca="1" si="93"/>
        <v>#N/A</v>
      </c>
      <c r="E1035" s="620"/>
      <c r="F1035" s="620"/>
      <c r="G1035" s="620"/>
      <c r="H1035" s="620"/>
      <c r="I1035" s="620"/>
      <c r="J1035" s="620"/>
      <c r="K1035" s="570"/>
      <c r="O1035" s="1223"/>
      <c r="Q1035" s="1222"/>
    </row>
    <row r="1036" spans="2:17" x14ac:dyDescent="0.4">
      <c r="B1036" s="130"/>
      <c r="C1036" s="611">
        <v>639</v>
      </c>
      <c r="D1036" s="656" t="e">
        <f t="shared" ca="1" si="93"/>
        <v>#N/A</v>
      </c>
      <c r="E1036" s="620"/>
      <c r="F1036" s="620"/>
      <c r="G1036" s="620"/>
      <c r="H1036" s="620"/>
      <c r="I1036" s="620"/>
      <c r="J1036" s="620"/>
      <c r="K1036" s="570"/>
      <c r="O1036" s="1223"/>
      <c r="Q1036" s="1222"/>
    </row>
    <row r="1037" spans="2:17" x14ac:dyDescent="0.4">
      <c r="B1037" s="130"/>
      <c r="C1037" s="611">
        <v>640</v>
      </c>
      <c r="D1037" s="656" t="e">
        <f t="shared" ref="D1037:D1100" ca="1" si="94">$C$376*C1037</f>
        <v>#N/A</v>
      </c>
      <c r="E1037" s="620"/>
      <c r="F1037" s="620"/>
      <c r="G1037" s="620"/>
      <c r="H1037" s="620"/>
      <c r="I1037" s="620"/>
      <c r="J1037" s="620"/>
      <c r="K1037" s="570"/>
      <c r="O1037" s="1223"/>
      <c r="Q1037" s="1222"/>
    </row>
    <row r="1038" spans="2:17" x14ac:dyDescent="0.4">
      <c r="B1038" s="130"/>
      <c r="C1038" s="611">
        <v>641</v>
      </c>
      <c r="D1038" s="656" t="e">
        <f t="shared" ca="1" si="94"/>
        <v>#N/A</v>
      </c>
      <c r="E1038" s="620"/>
      <c r="F1038" s="620"/>
      <c r="G1038" s="620"/>
      <c r="H1038" s="620"/>
      <c r="I1038" s="620"/>
      <c r="J1038" s="620"/>
      <c r="K1038" s="570"/>
      <c r="O1038" s="1223"/>
      <c r="Q1038" s="1222"/>
    </row>
    <row r="1039" spans="2:17" x14ac:dyDescent="0.4">
      <c r="B1039" s="130"/>
      <c r="C1039" s="611">
        <v>642</v>
      </c>
      <c r="D1039" s="656" t="e">
        <f t="shared" ca="1" si="94"/>
        <v>#N/A</v>
      </c>
      <c r="E1039" s="620"/>
      <c r="F1039" s="620"/>
      <c r="G1039" s="620"/>
      <c r="H1039" s="620"/>
      <c r="I1039" s="620"/>
      <c r="J1039" s="620"/>
      <c r="K1039" s="570"/>
      <c r="O1039" s="1223"/>
      <c r="Q1039" s="1222"/>
    </row>
    <row r="1040" spans="2:17" x14ac:dyDescent="0.4">
      <c r="B1040" s="130"/>
      <c r="C1040" s="611">
        <v>643</v>
      </c>
      <c r="D1040" s="656" t="e">
        <f t="shared" ca="1" si="94"/>
        <v>#N/A</v>
      </c>
      <c r="E1040" s="620"/>
      <c r="F1040" s="620"/>
      <c r="G1040" s="620"/>
      <c r="H1040" s="620"/>
      <c r="I1040" s="620"/>
      <c r="J1040" s="620"/>
      <c r="K1040" s="570"/>
      <c r="O1040" s="1223"/>
      <c r="Q1040" s="1222"/>
    </row>
    <row r="1041" spans="2:17" x14ac:dyDescent="0.4">
      <c r="B1041" s="130"/>
      <c r="C1041" s="611">
        <v>644</v>
      </c>
      <c r="D1041" s="656" t="e">
        <f t="shared" ca="1" si="94"/>
        <v>#N/A</v>
      </c>
      <c r="E1041" s="620"/>
      <c r="F1041" s="620"/>
      <c r="G1041" s="620"/>
      <c r="H1041" s="620"/>
      <c r="I1041" s="620"/>
      <c r="J1041" s="620"/>
      <c r="K1041" s="570"/>
      <c r="O1041" s="1223"/>
      <c r="Q1041" s="1222"/>
    </row>
    <row r="1042" spans="2:17" x14ac:dyDescent="0.4">
      <c r="B1042" s="130"/>
      <c r="C1042" s="611">
        <v>645</v>
      </c>
      <c r="D1042" s="656" t="e">
        <f t="shared" ca="1" si="94"/>
        <v>#N/A</v>
      </c>
      <c r="E1042" s="620"/>
      <c r="F1042" s="620"/>
      <c r="G1042" s="620"/>
      <c r="H1042" s="620"/>
      <c r="I1042" s="620"/>
      <c r="J1042" s="620"/>
      <c r="K1042" s="570"/>
      <c r="O1042" s="1223"/>
      <c r="Q1042" s="1222"/>
    </row>
    <row r="1043" spans="2:17" x14ac:dyDescent="0.4">
      <c r="B1043" s="130"/>
      <c r="C1043" s="611">
        <v>646</v>
      </c>
      <c r="D1043" s="656" t="e">
        <f t="shared" ca="1" si="94"/>
        <v>#N/A</v>
      </c>
      <c r="E1043" s="620"/>
      <c r="F1043" s="620"/>
      <c r="G1043" s="620"/>
      <c r="H1043" s="620"/>
      <c r="I1043" s="620"/>
      <c r="J1043" s="620"/>
      <c r="K1043" s="570"/>
      <c r="O1043" s="1223"/>
      <c r="Q1043" s="1222"/>
    </row>
    <row r="1044" spans="2:17" x14ac:dyDescent="0.4">
      <c r="B1044" s="130"/>
      <c r="C1044" s="611">
        <v>647</v>
      </c>
      <c r="D1044" s="656" t="e">
        <f t="shared" ca="1" si="94"/>
        <v>#N/A</v>
      </c>
      <c r="E1044" s="620"/>
      <c r="F1044" s="620"/>
      <c r="G1044" s="620"/>
      <c r="H1044" s="620"/>
      <c r="I1044" s="620"/>
      <c r="J1044" s="620"/>
      <c r="K1044" s="570"/>
      <c r="O1044" s="1223"/>
      <c r="Q1044" s="1222"/>
    </row>
    <row r="1045" spans="2:17" x14ac:dyDescent="0.4">
      <c r="B1045" s="130"/>
      <c r="C1045" s="611">
        <v>648</v>
      </c>
      <c r="D1045" s="656" t="e">
        <f t="shared" ca="1" si="94"/>
        <v>#N/A</v>
      </c>
      <c r="E1045" s="620"/>
      <c r="F1045" s="620"/>
      <c r="G1045" s="620"/>
      <c r="H1045" s="620"/>
      <c r="I1045" s="620"/>
      <c r="J1045" s="620"/>
      <c r="K1045" s="570"/>
      <c r="O1045" s="1223"/>
      <c r="Q1045" s="1222"/>
    </row>
    <row r="1046" spans="2:17" x14ac:dyDescent="0.4">
      <c r="B1046" s="130"/>
      <c r="C1046" s="611">
        <v>649</v>
      </c>
      <c r="D1046" s="656" t="e">
        <f t="shared" ca="1" si="94"/>
        <v>#N/A</v>
      </c>
      <c r="E1046" s="620"/>
      <c r="F1046" s="620"/>
      <c r="G1046" s="620"/>
      <c r="H1046" s="620"/>
      <c r="I1046" s="620"/>
      <c r="J1046" s="620"/>
      <c r="K1046" s="570"/>
      <c r="O1046" s="1223"/>
      <c r="Q1046" s="1222"/>
    </row>
    <row r="1047" spans="2:17" x14ac:dyDescent="0.4">
      <c r="B1047" s="130"/>
      <c r="C1047" s="611">
        <v>650</v>
      </c>
      <c r="D1047" s="656" t="e">
        <f t="shared" ca="1" si="94"/>
        <v>#N/A</v>
      </c>
      <c r="E1047" s="620"/>
      <c r="F1047" s="620"/>
      <c r="G1047" s="620"/>
      <c r="H1047" s="620"/>
      <c r="I1047" s="620"/>
      <c r="J1047" s="620"/>
      <c r="K1047" s="570"/>
      <c r="O1047" s="1223"/>
      <c r="Q1047" s="1222"/>
    </row>
    <row r="1048" spans="2:17" x14ac:dyDescent="0.4">
      <c r="B1048" s="130"/>
      <c r="C1048" s="611">
        <v>651</v>
      </c>
      <c r="D1048" s="656" t="e">
        <f t="shared" ca="1" si="94"/>
        <v>#N/A</v>
      </c>
      <c r="E1048" s="620"/>
      <c r="F1048" s="620"/>
      <c r="G1048" s="620"/>
      <c r="H1048" s="620"/>
      <c r="I1048" s="620"/>
      <c r="J1048" s="620"/>
      <c r="K1048" s="570"/>
      <c r="O1048" s="1223"/>
      <c r="Q1048" s="1222"/>
    </row>
    <row r="1049" spans="2:17" x14ac:dyDescent="0.4">
      <c r="B1049" s="130"/>
      <c r="C1049" s="611">
        <v>652</v>
      </c>
      <c r="D1049" s="656" t="e">
        <f t="shared" ca="1" si="94"/>
        <v>#N/A</v>
      </c>
      <c r="E1049" s="620"/>
      <c r="F1049" s="620"/>
      <c r="G1049" s="620"/>
      <c r="H1049" s="620"/>
      <c r="I1049" s="620"/>
      <c r="J1049" s="620"/>
      <c r="K1049" s="570"/>
      <c r="O1049" s="1223"/>
      <c r="Q1049" s="1222"/>
    </row>
    <row r="1050" spans="2:17" x14ac:dyDescent="0.4">
      <c r="B1050" s="130"/>
      <c r="C1050" s="611">
        <v>653</v>
      </c>
      <c r="D1050" s="656" t="e">
        <f t="shared" ca="1" si="94"/>
        <v>#N/A</v>
      </c>
      <c r="E1050" s="620"/>
      <c r="F1050" s="620"/>
      <c r="G1050" s="620"/>
      <c r="H1050" s="620"/>
      <c r="I1050" s="620"/>
      <c r="J1050" s="620"/>
      <c r="K1050" s="570"/>
      <c r="O1050" s="1223"/>
      <c r="Q1050" s="1222"/>
    </row>
    <row r="1051" spans="2:17" x14ac:dyDescent="0.4">
      <c r="B1051" s="130"/>
      <c r="C1051" s="611">
        <v>654</v>
      </c>
      <c r="D1051" s="656" t="e">
        <f t="shared" ca="1" si="94"/>
        <v>#N/A</v>
      </c>
      <c r="E1051" s="620"/>
      <c r="F1051" s="620"/>
      <c r="G1051" s="620"/>
      <c r="H1051" s="620"/>
      <c r="I1051" s="620"/>
      <c r="J1051" s="620"/>
      <c r="K1051" s="570"/>
      <c r="O1051" s="1223"/>
      <c r="Q1051" s="1222"/>
    </row>
    <row r="1052" spans="2:17" x14ac:dyDescent="0.4">
      <c r="B1052" s="130"/>
      <c r="C1052" s="611">
        <v>655</v>
      </c>
      <c r="D1052" s="656" t="e">
        <f t="shared" ca="1" si="94"/>
        <v>#N/A</v>
      </c>
      <c r="E1052" s="620"/>
      <c r="F1052" s="620"/>
      <c r="G1052" s="620"/>
      <c r="H1052" s="620"/>
      <c r="I1052" s="620"/>
      <c r="J1052" s="620"/>
      <c r="K1052" s="570"/>
      <c r="O1052" s="1223"/>
      <c r="Q1052" s="1222"/>
    </row>
    <row r="1053" spans="2:17" x14ac:dyDescent="0.4">
      <c r="B1053" s="130"/>
      <c r="C1053" s="611">
        <v>656</v>
      </c>
      <c r="D1053" s="656" t="e">
        <f t="shared" ca="1" si="94"/>
        <v>#N/A</v>
      </c>
      <c r="E1053" s="620"/>
      <c r="F1053" s="620"/>
      <c r="G1053" s="620"/>
      <c r="H1053" s="620"/>
      <c r="I1053" s="620"/>
      <c r="J1053" s="620"/>
      <c r="K1053" s="570"/>
      <c r="O1053" s="1223"/>
      <c r="Q1053" s="1222"/>
    </row>
    <row r="1054" spans="2:17" x14ac:dyDescent="0.4">
      <c r="B1054" s="130"/>
      <c r="C1054" s="611">
        <v>657</v>
      </c>
      <c r="D1054" s="656" t="e">
        <f t="shared" ca="1" si="94"/>
        <v>#N/A</v>
      </c>
      <c r="E1054" s="620"/>
      <c r="F1054" s="620"/>
      <c r="G1054" s="620"/>
      <c r="H1054" s="620"/>
      <c r="I1054" s="620"/>
      <c r="J1054" s="620"/>
      <c r="K1054" s="570"/>
      <c r="O1054" s="1223"/>
      <c r="Q1054" s="1222"/>
    </row>
    <row r="1055" spans="2:17" x14ac:dyDescent="0.4">
      <c r="B1055" s="130"/>
      <c r="C1055" s="611">
        <v>658</v>
      </c>
      <c r="D1055" s="656" t="e">
        <f t="shared" ca="1" si="94"/>
        <v>#N/A</v>
      </c>
      <c r="E1055" s="620"/>
      <c r="F1055" s="620"/>
      <c r="G1055" s="620"/>
      <c r="H1055" s="620"/>
      <c r="I1055" s="620"/>
      <c r="J1055" s="620"/>
      <c r="K1055" s="570"/>
      <c r="O1055" s="1223"/>
      <c r="Q1055" s="1222"/>
    </row>
    <row r="1056" spans="2:17" x14ac:dyDescent="0.4">
      <c r="B1056" s="130"/>
      <c r="C1056" s="611">
        <v>659</v>
      </c>
      <c r="D1056" s="656" t="e">
        <f t="shared" ca="1" si="94"/>
        <v>#N/A</v>
      </c>
      <c r="E1056" s="620"/>
      <c r="F1056" s="620"/>
      <c r="G1056" s="620"/>
      <c r="H1056" s="620"/>
      <c r="I1056" s="620"/>
      <c r="J1056" s="620"/>
      <c r="K1056" s="570"/>
      <c r="O1056" s="1223"/>
      <c r="Q1056" s="1222"/>
    </row>
    <row r="1057" spans="2:17" x14ac:dyDescent="0.4">
      <c r="B1057" s="130"/>
      <c r="C1057" s="611">
        <v>660</v>
      </c>
      <c r="D1057" s="656" t="e">
        <f t="shared" ca="1" si="94"/>
        <v>#N/A</v>
      </c>
      <c r="E1057" s="620"/>
      <c r="F1057" s="620"/>
      <c r="G1057" s="620"/>
      <c r="H1057" s="620"/>
      <c r="I1057" s="620"/>
      <c r="J1057" s="620"/>
      <c r="K1057" s="570"/>
      <c r="O1057" s="1223"/>
      <c r="Q1057" s="1222"/>
    </row>
    <row r="1058" spans="2:17" x14ac:dyDescent="0.4">
      <c r="B1058" s="130"/>
      <c r="C1058" s="611">
        <v>661</v>
      </c>
      <c r="D1058" s="656" t="e">
        <f t="shared" ca="1" si="94"/>
        <v>#N/A</v>
      </c>
      <c r="E1058" s="620"/>
      <c r="F1058" s="620"/>
      <c r="G1058" s="620"/>
      <c r="H1058" s="620"/>
      <c r="I1058" s="620"/>
      <c r="J1058" s="620"/>
      <c r="K1058" s="570"/>
      <c r="O1058" s="1223"/>
      <c r="Q1058" s="1222"/>
    </row>
    <row r="1059" spans="2:17" x14ac:dyDescent="0.4">
      <c r="B1059" s="130"/>
      <c r="C1059" s="611">
        <v>662</v>
      </c>
      <c r="D1059" s="656" t="e">
        <f t="shared" ca="1" si="94"/>
        <v>#N/A</v>
      </c>
      <c r="E1059" s="620"/>
      <c r="F1059" s="620"/>
      <c r="G1059" s="620"/>
      <c r="H1059" s="620"/>
      <c r="I1059" s="620"/>
      <c r="J1059" s="620"/>
      <c r="K1059" s="570"/>
      <c r="O1059" s="1223"/>
      <c r="Q1059" s="1222"/>
    </row>
    <row r="1060" spans="2:17" x14ac:dyDescent="0.4">
      <c r="B1060" s="130"/>
      <c r="C1060" s="611">
        <v>663</v>
      </c>
      <c r="D1060" s="656" t="e">
        <f t="shared" ca="1" si="94"/>
        <v>#N/A</v>
      </c>
      <c r="E1060" s="620"/>
      <c r="F1060" s="620"/>
      <c r="G1060" s="620"/>
      <c r="H1060" s="620"/>
      <c r="I1060" s="620"/>
      <c r="J1060" s="620"/>
      <c r="K1060" s="570"/>
      <c r="O1060" s="1223"/>
      <c r="Q1060" s="1222"/>
    </row>
    <row r="1061" spans="2:17" x14ac:dyDescent="0.4">
      <c r="B1061" s="130"/>
      <c r="C1061" s="611">
        <v>664</v>
      </c>
      <c r="D1061" s="656" t="e">
        <f t="shared" ca="1" si="94"/>
        <v>#N/A</v>
      </c>
      <c r="E1061" s="620"/>
      <c r="F1061" s="620"/>
      <c r="G1061" s="620"/>
      <c r="H1061" s="620"/>
      <c r="I1061" s="620"/>
      <c r="J1061" s="620"/>
      <c r="K1061" s="570"/>
      <c r="O1061" s="1223"/>
      <c r="Q1061" s="1222"/>
    </row>
    <row r="1062" spans="2:17" x14ac:dyDescent="0.4">
      <c r="B1062" s="130"/>
      <c r="C1062" s="611">
        <v>665</v>
      </c>
      <c r="D1062" s="656" t="e">
        <f t="shared" ca="1" si="94"/>
        <v>#N/A</v>
      </c>
      <c r="E1062" s="620"/>
      <c r="F1062" s="620"/>
      <c r="G1062" s="620"/>
      <c r="H1062" s="620"/>
      <c r="I1062" s="620"/>
      <c r="J1062" s="620"/>
      <c r="K1062" s="570"/>
      <c r="O1062" s="1223"/>
      <c r="Q1062" s="1222"/>
    </row>
    <row r="1063" spans="2:17" x14ac:dyDescent="0.4">
      <c r="B1063" s="130"/>
      <c r="C1063" s="611">
        <v>666</v>
      </c>
      <c r="D1063" s="656" t="e">
        <f t="shared" ca="1" si="94"/>
        <v>#N/A</v>
      </c>
      <c r="E1063" s="620"/>
      <c r="F1063" s="620"/>
      <c r="G1063" s="620"/>
      <c r="H1063" s="620"/>
      <c r="I1063" s="620"/>
      <c r="J1063" s="620"/>
      <c r="K1063" s="570"/>
      <c r="O1063" s="1223"/>
      <c r="Q1063" s="1222"/>
    </row>
    <row r="1064" spans="2:17" x14ac:dyDescent="0.4">
      <c r="B1064" s="130"/>
      <c r="C1064" s="611">
        <v>667</v>
      </c>
      <c r="D1064" s="656" t="e">
        <f t="shared" ca="1" si="94"/>
        <v>#N/A</v>
      </c>
      <c r="E1064" s="620"/>
      <c r="F1064" s="620"/>
      <c r="G1064" s="620"/>
      <c r="H1064" s="620"/>
      <c r="I1064" s="620"/>
      <c r="J1064" s="620"/>
      <c r="K1064" s="570"/>
      <c r="O1064" s="1223"/>
      <c r="Q1064" s="1222"/>
    </row>
    <row r="1065" spans="2:17" x14ac:dyDescent="0.4">
      <c r="B1065" s="130"/>
      <c r="C1065" s="611">
        <v>668</v>
      </c>
      <c r="D1065" s="656" t="e">
        <f t="shared" ca="1" si="94"/>
        <v>#N/A</v>
      </c>
      <c r="E1065" s="620"/>
      <c r="F1065" s="620"/>
      <c r="G1065" s="620"/>
      <c r="H1065" s="620"/>
      <c r="I1065" s="620"/>
      <c r="J1065" s="620"/>
      <c r="K1065" s="570"/>
      <c r="O1065" s="1223"/>
      <c r="Q1065" s="1222"/>
    </row>
    <row r="1066" spans="2:17" x14ac:dyDescent="0.4">
      <c r="B1066" s="130"/>
      <c r="C1066" s="611">
        <v>669</v>
      </c>
      <c r="D1066" s="656" t="e">
        <f t="shared" ca="1" si="94"/>
        <v>#N/A</v>
      </c>
      <c r="E1066" s="620"/>
      <c r="F1066" s="620"/>
      <c r="G1066" s="620"/>
      <c r="H1066" s="620"/>
      <c r="I1066" s="620"/>
      <c r="J1066" s="620"/>
      <c r="K1066" s="570"/>
      <c r="O1066" s="1223"/>
      <c r="Q1066" s="1222"/>
    </row>
    <row r="1067" spans="2:17" x14ac:dyDescent="0.4">
      <c r="B1067" s="130"/>
      <c r="C1067" s="611">
        <v>670</v>
      </c>
      <c r="D1067" s="656" t="e">
        <f t="shared" ca="1" si="94"/>
        <v>#N/A</v>
      </c>
      <c r="E1067" s="620"/>
      <c r="F1067" s="620"/>
      <c r="G1067" s="620"/>
      <c r="H1067" s="620"/>
      <c r="I1067" s="620"/>
      <c r="J1067" s="620"/>
      <c r="K1067" s="570"/>
      <c r="O1067" s="1223"/>
      <c r="Q1067" s="1222"/>
    </row>
    <row r="1068" spans="2:17" x14ac:dyDescent="0.4">
      <c r="B1068" s="130"/>
      <c r="C1068" s="611">
        <v>671</v>
      </c>
      <c r="D1068" s="656" t="e">
        <f t="shared" ca="1" si="94"/>
        <v>#N/A</v>
      </c>
      <c r="E1068" s="620"/>
      <c r="F1068" s="620"/>
      <c r="G1068" s="620"/>
      <c r="H1068" s="620"/>
      <c r="I1068" s="620"/>
      <c r="J1068" s="620"/>
      <c r="K1068" s="570"/>
      <c r="O1068" s="1223"/>
      <c r="Q1068" s="1222"/>
    </row>
    <row r="1069" spans="2:17" x14ac:dyDescent="0.4">
      <c r="B1069" s="130"/>
      <c r="C1069" s="611">
        <v>672</v>
      </c>
      <c r="D1069" s="656" t="e">
        <f t="shared" ca="1" si="94"/>
        <v>#N/A</v>
      </c>
      <c r="E1069" s="620"/>
      <c r="F1069" s="620"/>
      <c r="G1069" s="620"/>
      <c r="H1069" s="620"/>
      <c r="I1069" s="620"/>
      <c r="J1069" s="620"/>
      <c r="K1069" s="570"/>
      <c r="O1069" s="1223"/>
      <c r="Q1069" s="1222"/>
    </row>
    <row r="1070" spans="2:17" x14ac:dyDescent="0.4">
      <c r="B1070" s="130"/>
      <c r="C1070" s="611">
        <v>673</v>
      </c>
      <c r="D1070" s="656" t="e">
        <f t="shared" ca="1" si="94"/>
        <v>#N/A</v>
      </c>
      <c r="E1070" s="620"/>
      <c r="F1070" s="620"/>
      <c r="G1070" s="620"/>
      <c r="H1070" s="620"/>
      <c r="I1070" s="620"/>
      <c r="J1070" s="620"/>
      <c r="K1070" s="570"/>
      <c r="O1070" s="1223"/>
      <c r="Q1070" s="1222"/>
    </row>
    <row r="1071" spans="2:17" x14ac:dyDescent="0.4">
      <c r="B1071" s="130"/>
      <c r="C1071" s="611">
        <v>674</v>
      </c>
      <c r="D1071" s="656" t="e">
        <f t="shared" ca="1" si="94"/>
        <v>#N/A</v>
      </c>
      <c r="E1071" s="620"/>
      <c r="F1071" s="620"/>
      <c r="G1071" s="620"/>
      <c r="H1071" s="620"/>
      <c r="I1071" s="620"/>
      <c r="J1071" s="620"/>
      <c r="K1071" s="570"/>
      <c r="O1071" s="1223"/>
      <c r="Q1071" s="1222"/>
    </row>
    <row r="1072" spans="2:17" x14ac:dyDescent="0.4">
      <c r="B1072" s="130"/>
      <c r="C1072" s="611">
        <v>675</v>
      </c>
      <c r="D1072" s="656" t="e">
        <f t="shared" ca="1" si="94"/>
        <v>#N/A</v>
      </c>
      <c r="E1072" s="620"/>
      <c r="F1072" s="620"/>
      <c r="G1072" s="620"/>
      <c r="H1072" s="620"/>
      <c r="I1072" s="620"/>
      <c r="J1072" s="620"/>
      <c r="K1072" s="570"/>
      <c r="O1072" s="1223"/>
      <c r="Q1072" s="1222"/>
    </row>
    <row r="1073" spans="2:17" x14ac:dyDescent="0.4">
      <c r="B1073" s="130"/>
      <c r="C1073" s="611">
        <v>676</v>
      </c>
      <c r="D1073" s="656" t="e">
        <f t="shared" ca="1" si="94"/>
        <v>#N/A</v>
      </c>
      <c r="E1073" s="620"/>
      <c r="F1073" s="620"/>
      <c r="G1073" s="620"/>
      <c r="H1073" s="620"/>
      <c r="I1073" s="620"/>
      <c r="J1073" s="620"/>
      <c r="K1073" s="570"/>
      <c r="O1073" s="1223"/>
      <c r="Q1073" s="1222"/>
    </row>
    <row r="1074" spans="2:17" x14ac:dyDescent="0.4">
      <c r="B1074" s="130"/>
      <c r="C1074" s="611">
        <v>677</v>
      </c>
      <c r="D1074" s="656" t="e">
        <f t="shared" ca="1" si="94"/>
        <v>#N/A</v>
      </c>
      <c r="E1074" s="620"/>
      <c r="F1074" s="620"/>
      <c r="G1074" s="620"/>
      <c r="H1074" s="620"/>
      <c r="I1074" s="620"/>
      <c r="J1074" s="620"/>
      <c r="K1074" s="570"/>
      <c r="O1074" s="1223"/>
      <c r="Q1074" s="1222"/>
    </row>
    <row r="1075" spans="2:17" x14ac:dyDescent="0.4">
      <c r="B1075" s="130"/>
      <c r="C1075" s="611">
        <v>678</v>
      </c>
      <c r="D1075" s="656" t="e">
        <f t="shared" ca="1" si="94"/>
        <v>#N/A</v>
      </c>
      <c r="E1075" s="620"/>
      <c r="F1075" s="620"/>
      <c r="G1075" s="620"/>
      <c r="H1075" s="620"/>
      <c r="I1075" s="620"/>
      <c r="J1075" s="620"/>
      <c r="K1075" s="570"/>
      <c r="O1075" s="1223"/>
      <c r="Q1075" s="1222"/>
    </row>
    <row r="1076" spans="2:17" x14ac:dyDescent="0.4">
      <c r="B1076" s="130"/>
      <c r="C1076" s="611">
        <v>679</v>
      </c>
      <c r="D1076" s="656" t="e">
        <f t="shared" ca="1" si="94"/>
        <v>#N/A</v>
      </c>
      <c r="E1076" s="620"/>
      <c r="F1076" s="620"/>
      <c r="G1076" s="620"/>
      <c r="H1076" s="620"/>
      <c r="I1076" s="620"/>
      <c r="J1076" s="620"/>
      <c r="K1076" s="570"/>
      <c r="O1076" s="1223"/>
      <c r="Q1076" s="1222"/>
    </row>
    <row r="1077" spans="2:17" x14ac:dyDescent="0.4">
      <c r="B1077" s="130"/>
      <c r="C1077" s="611">
        <v>680</v>
      </c>
      <c r="D1077" s="656" t="e">
        <f t="shared" ca="1" si="94"/>
        <v>#N/A</v>
      </c>
      <c r="E1077" s="620"/>
      <c r="F1077" s="620"/>
      <c r="G1077" s="620"/>
      <c r="H1077" s="620"/>
      <c r="I1077" s="620"/>
      <c r="J1077" s="620"/>
      <c r="K1077" s="570"/>
      <c r="O1077" s="1223"/>
      <c r="Q1077" s="1222"/>
    </row>
    <row r="1078" spans="2:17" x14ac:dyDescent="0.4">
      <c r="B1078" s="130"/>
      <c r="C1078" s="611">
        <v>681</v>
      </c>
      <c r="D1078" s="656" t="e">
        <f t="shared" ca="1" si="94"/>
        <v>#N/A</v>
      </c>
      <c r="E1078" s="620"/>
      <c r="F1078" s="620"/>
      <c r="G1078" s="620"/>
      <c r="H1078" s="620"/>
      <c r="I1078" s="620"/>
      <c r="J1078" s="620"/>
      <c r="K1078" s="570"/>
      <c r="O1078" s="1223"/>
      <c r="Q1078" s="1222"/>
    </row>
    <row r="1079" spans="2:17" x14ac:dyDescent="0.4">
      <c r="B1079" s="130"/>
      <c r="C1079" s="611">
        <v>682</v>
      </c>
      <c r="D1079" s="656" t="e">
        <f t="shared" ca="1" si="94"/>
        <v>#N/A</v>
      </c>
      <c r="E1079" s="620"/>
      <c r="F1079" s="620"/>
      <c r="G1079" s="620"/>
      <c r="H1079" s="620"/>
      <c r="I1079" s="620"/>
      <c r="J1079" s="620"/>
      <c r="K1079" s="570"/>
      <c r="O1079" s="1223"/>
      <c r="Q1079" s="1222"/>
    </row>
    <row r="1080" spans="2:17" x14ac:dyDescent="0.4">
      <c r="B1080" s="130"/>
      <c r="C1080" s="611">
        <v>683</v>
      </c>
      <c r="D1080" s="656" t="e">
        <f t="shared" ca="1" si="94"/>
        <v>#N/A</v>
      </c>
      <c r="E1080" s="620"/>
      <c r="F1080" s="620"/>
      <c r="G1080" s="620"/>
      <c r="H1080" s="620"/>
      <c r="I1080" s="620"/>
      <c r="J1080" s="620"/>
      <c r="K1080" s="570"/>
      <c r="O1080" s="1223"/>
      <c r="Q1080" s="1222"/>
    </row>
    <row r="1081" spans="2:17" x14ac:dyDescent="0.4">
      <c r="B1081" s="130"/>
      <c r="C1081" s="611">
        <v>684</v>
      </c>
      <c r="D1081" s="656" t="e">
        <f t="shared" ca="1" si="94"/>
        <v>#N/A</v>
      </c>
      <c r="E1081" s="620"/>
      <c r="F1081" s="620"/>
      <c r="G1081" s="620"/>
      <c r="H1081" s="620"/>
      <c r="I1081" s="620"/>
      <c r="J1081" s="620"/>
      <c r="K1081" s="570"/>
      <c r="O1081" s="1223"/>
      <c r="Q1081" s="1222"/>
    </row>
    <row r="1082" spans="2:17" x14ac:dyDescent="0.4">
      <c r="B1082" s="130"/>
      <c r="C1082" s="611">
        <v>685</v>
      </c>
      <c r="D1082" s="656" t="e">
        <f t="shared" ca="1" si="94"/>
        <v>#N/A</v>
      </c>
      <c r="E1082" s="620"/>
      <c r="F1082" s="620"/>
      <c r="G1082" s="620"/>
      <c r="H1082" s="620"/>
      <c r="I1082" s="620"/>
      <c r="J1082" s="620"/>
      <c r="K1082" s="570"/>
      <c r="O1082" s="1223"/>
      <c r="Q1082" s="1222"/>
    </row>
    <row r="1083" spans="2:17" x14ac:dyDescent="0.4">
      <c r="B1083" s="130"/>
      <c r="C1083" s="611">
        <v>686</v>
      </c>
      <c r="D1083" s="656" t="e">
        <f t="shared" ca="1" si="94"/>
        <v>#N/A</v>
      </c>
      <c r="E1083" s="620"/>
      <c r="F1083" s="620"/>
      <c r="G1083" s="620"/>
      <c r="H1083" s="620"/>
      <c r="I1083" s="620"/>
      <c r="J1083" s="620"/>
      <c r="K1083" s="570"/>
      <c r="O1083" s="1223"/>
      <c r="Q1083" s="1222"/>
    </row>
    <row r="1084" spans="2:17" x14ac:dyDescent="0.4">
      <c r="B1084" s="130"/>
      <c r="C1084" s="611">
        <v>687</v>
      </c>
      <c r="D1084" s="656" t="e">
        <f t="shared" ca="1" si="94"/>
        <v>#N/A</v>
      </c>
      <c r="E1084" s="620"/>
      <c r="F1084" s="620"/>
      <c r="G1084" s="620"/>
      <c r="H1084" s="620"/>
      <c r="I1084" s="620"/>
      <c r="J1084" s="620"/>
      <c r="K1084" s="570"/>
      <c r="O1084" s="1223"/>
      <c r="Q1084" s="1222"/>
    </row>
    <row r="1085" spans="2:17" x14ac:dyDescent="0.4">
      <c r="B1085" s="130"/>
      <c r="C1085" s="611">
        <v>688</v>
      </c>
      <c r="D1085" s="656" t="e">
        <f t="shared" ca="1" si="94"/>
        <v>#N/A</v>
      </c>
      <c r="E1085" s="620"/>
      <c r="F1085" s="620"/>
      <c r="G1085" s="620"/>
      <c r="H1085" s="620"/>
      <c r="I1085" s="620"/>
      <c r="J1085" s="620"/>
      <c r="K1085" s="570"/>
      <c r="O1085" s="1223"/>
      <c r="Q1085" s="1222"/>
    </row>
    <row r="1086" spans="2:17" x14ac:dyDescent="0.4">
      <c r="B1086" s="130"/>
      <c r="C1086" s="611">
        <v>689</v>
      </c>
      <c r="D1086" s="656" t="e">
        <f t="shared" ca="1" si="94"/>
        <v>#N/A</v>
      </c>
      <c r="E1086" s="620"/>
      <c r="F1086" s="620"/>
      <c r="G1086" s="620"/>
      <c r="H1086" s="620"/>
      <c r="I1086" s="620"/>
      <c r="J1086" s="620"/>
      <c r="K1086" s="570"/>
      <c r="O1086" s="1223"/>
      <c r="Q1086" s="1222"/>
    </row>
    <row r="1087" spans="2:17" x14ac:dyDescent="0.4">
      <c r="B1087" s="130"/>
      <c r="C1087" s="611">
        <v>690</v>
      </c>
      <c r="D1087" s="656" t="e">
        <f t="shared" ca="1" si="94"/>
        <v>#N/A</v>
      </c>
      <c r="E1087" s="620"/>
      <c r="F1087" s="620"/>
      <c r="G1087" s="620"/>
      <c r="H1087" s="620"/>
      <c r="I1087" s="620"/>
      <c r="J1087" s="620"/>
      <c r="K1087" s="570"/>
      <c r="O1087" s="1223"/>
      <c r="Q1087" s="1222"/>
    </row>
    <row r="1088" spans="2:17" x14ac:dyDescent="0.4">
      <c r="B1088" s="130"/>
      <c r="C1088" s="611">
        <v>691</v>
      </c>
      <c r="D1088" s="656" t="e">
        <f t="shared" ca="1" si="94"/>
        <v>#N/A</v>
      </c>
      <c r="E1088" s="620"/>
      <c r="F1088" s="620"/>
      <c r="G1088" s="620"/>
      <c r="H1088" s="620"/>
      <c r="I1088" s="620"/>
      <c r="J1088" s="620"/>
      <c r="K1088" s="570"/>
      <c r="O1088" s="1223"/>
      <c r="Q1088" s="1222"/>
    </row>
    <row r="1089" spans="2:17" x14ac:dyDescent="0.4">
      <c r="B1089" s="130"/>
      <c r="C1089" s="611">
        <v>692</v>
      </c>
      <c r="D1089" s="656" t="e">
        <f t="shared" ca="1" si="94"/>
        <v>#N/A</v>
      </c>
      <c r="E1089" s="620"/>
      <c r="F1089" s="620"/>
      <c r="G1089" s="620"/>
      <c r="H1089" s="620"/>
      <c r="I1089" s="620"/>
      <c r="J1089" s="620"/>
      <c r="K1089" s="570"/>
      <c r="O1089" s="1223"/>
      <c r="Q1089" s="1222"/>
    </row>
    <row r="1090" spans="2:17" x14ac:dyDescent="0.4">
      <c r="B1090" s="130"/>
      <c r="C1090" s="611">
        <v>693</v>
      </c>
      <c r="D1090" s="656" t="e">
        <f t="shared" ca="1" si="94"/>
        <v>#N/A</v>
      </c>
      <c r="E1090" s="620"/>
      <c r="F1090" s="620"/>
      <c r="G1090" s="620"/>
      <c r="H1090" s="620"/>
      <c r="I1090" s="620"/>
      <c r="J1090" s="620"/>
      <c r="K1090" s="570"/>
      <c r="O1090" s="1223"/>
      <c r="Q1090" s="1222"/>
    </row>
    <row r="1091" spans="2:17" x14ac:dyDescent="0.4">
      <c r="B1091" s="130"/>
      <c r="C1091" s="611">
        <v>694</v>
      </c>
      <c r="D1091" s="656" t="e">
        <f t="shared" ca="1" si="94"/>
        <v>#N/A</v>
      </c>
      <c r="E1091" s="620"/>
      <c r="F1091" s="620"/>
      <c r="G1091" s="620"/>
      <c r="H1091" s="620"/>
      <c r="I1091" s="620"/>
      <c r="J1091" s="620"/>
      <c r="K1091" s="570"/>
      <c r="O1091" s="1223"/>
      <c r="Q1091" s="1222"/>
    </row>
    <row r="1092" spans="2:17" x14ac:dyDescent="0.4">
      <c r="B1092" s="130"/>
      <c r="C1092" s="611">
        <v>695</v>
      </c>
      <c r="D1092" s="656" t="e">
        <f t="shared" ca="1" si="94"/>
        <v>#N/A</v>
      </c>
      <c r="E1092" s="620"/>
      <c r="F1092" s="620"/>
      <c r="G1092" s="620"/>
      <c r="H1092" s="620"/>
      <c r="I1092" s="620"/>
      <c r="J1092" s="620"/>
      <c r="K1092" s="570"/>
      <c r="O1092" s="1223"/>
      <c r="Q1092" s="1222"/>
    </row>
    <row r="1093" spans="2:17" x14ac:dyDescent="0.4">
      <c r="B1093" s="130"/>
      <c r="C1093" s="611">
        <v>696</v>
      </c>
      <c r="D1093" s="656" t="e">
        <f t="shared" ca="1" si="94"/>
        <v>#N/A</v>
      </c>
      <c r="E1093" s="620"/>
      <c r="F1093" s="620"/>
      <c r="G1093" s="620"/>
      <c r="H1093" s="620"/>
      <c r="I1093" s="620"/>
      <c r="J1093" s="620"/>
      <c r="K1093" s="570"/>
      <c r="O1093" s="1223"/>
      <c r="Q1093" s="1222"/>
    </row>
    <row r="1094" spans="2:17" x14ac:dyDescent="0.4">
      <c r="B1094" s="130"/>
      <c r="C1094" s="611">
        <v>697</v>
      </c>
      <c r="D1094" s="656" t="e">
        <f t="shared" ca="1" si="94"/>
        <v>#N/A</v>
      </c>
      <c r="E1094" s="620"/>
      <c r="F1094" s="620"/>
      <c r="G1094" s="620"/>
      <c r="H1094" s="620"/>
      <c r="I1094" s="620"/>
      <c r="J1094" s="620"/>
      <c r="K1094" s="570"/>
      <c r="O1094" s="1223"/>
      <c r="Q1094" s="1222"/>
    </row>
    <row r="1095" spans="2:17" x14ac:dyDescent="0.4">
      <c r="B1095" s="130"/>
      <c r="C1095" s="611">
        <v>698</v>
      </c>
      <c r="D1095" s="656" t="e">
        <f t="shared" ca="1" si="94"/>
        <v>#N/A</v>
      </c>
      <c r="E1095" s="620"/>
      <c r="F1095" s="620"/>
      <c r="G1095" s="620"/>
      <c r="H1095" s="620"/>
      <c r="I1095" s="620"/>
      <c r="J1095" s="620"/>
      <c r="K1095" s="570"/>
      <c r="O1095" s="1223"/>
      <c r="Q1095" s="1222"/>
    </row>
    <row r="1096" spans="2:17" x14ac:dyDescent="0.4">
      <c r="B1096" s="130"/>
      <c r="C1096" s="611">
        <v>699</v>
      </c>
      <c r="D1096" s="656" t="e">
        <f t="shared" ca="1" si="94"/>
        <v>#N/A</v>
      </c>
      <c r="E1096" s="620"/>
      <c r="F1096" s="620"/>
      <c r="G1096" s="620"/>
      <c r="H1096" s="620"/>
      <c r="I1096" s="620"/>
      <c r="J1096" s="620"/>
      <c r="K1096" s="570"/>
      <c r="O1096" s="1223"/>
      <c r="Q1096" s="1222"/>
    </row>
    <row r="1097" spans="2:17" x14ac:dyDescent="0.4">
      <c r="B1097" s="130"/>
      <c r="C1097" s="611">
        <v>700</v>
      </c>
      <c r="D1097" s="656" t="e">
        <f t="shared" ca="1" si="94"/>
        <v>#N/A</v>
      </c>
      <c r="E1097" s="620"/>
      <c r="F1097" s="620"/>
      <c r="G1097" s="620"/>
      <c r="H1097" s="620"/>
      <c r="I1097" s="620"/>
      <c r="J1097" s="620"/>
      <c r="K1097" s="570"/>
      <c r="O1097" s="1223"/>
      <c r="Q1097" s="1222"/>
    </row>
    <row r="1098" spans="2:17" x14ac:dyDescent="0.4">
      <c r="B1098" s="130"/>
      <c r="C1098" s="611">
        <v>701</v>
      </c>
      <c r="D1098" s="656" t="e">
        <f t="shared" ca="1" si="94"/>
        <v>#N/A</v>
      </c>
      <c r="E1098" s="620"/>
      <c r="F1098" s="620"/>
      <c r="G1098" s="620"/>
      <c r="H1098" s="620"/>
      <c r="I1098" s="620"/>
      <c r="J1098" s="620"/>
      <c r="K1098" s="570"/>
      <c r="O1098" s="1223"/>
      <c r="Q1098" s="1222"/>
    </row>
    <row r="1099" spans="2:17" x14ac:dyDescent="0.4">
      <c r="B1099" s="130"/>
      <c r="C1099" s="611">
        <v>702</v>
      </c>
      <c r="D1099" s="656" t="e">
        <f t="shared" ca="1" si="94"/>
        <v>#N/A</v>
      </c>
      <c r="E1099" s="620"/>
      <c r="F1099" s="620"/>
      <c r="G1099" s="620"/>
      <c r="H1099" s="620"/>
      <c r="I1099" s="620"/>
      <c r="J1099" s="620"/>
      <c r="K1099" s="570"/>
      <c r="O1099" s="1223"/>
      <c r="Q1099" s="1222"/>
    </row>
    <row r="1100" spans="2:17" x14ac:dyDescent="0.4">
      <c r="B1100" s="130"/>
      <c r="C1100" s="611">
        <v>703</v>
      </c>
      <c r="D1100" s="656" t="e">
        <f t="shared" ca="1" si="94"/>
        <v>#N/A</v>
      </c>
      <c r="E1100" s="620"/>
      <c r="F1100" s="620"/>
      <c r="G1100" s="620"/>
      <c r="H1100" s="620"/>
      <c r="I1100" s="620"/>
      <c r="J1100" s="620"/>
      <c r="K1100" s="570"/>
      <c r="O1100" s="1223"/>
      <c r="Q1100" s="1222"/>
    </row>
    <row r="1101" spans="2:17" x14ac:dyDescent="0.4">
      <c r="B1101" s="130"/>
      <c r="C1101" s="611">
        <v>704</v>
      </c>
      <c r="D1101" s="656" t="e">
        <f t="shared" ref="D1101:D1164" ca="1" si="95">$C$376*C1101</f>
        <v>#N/A</v>
      </c>
      <c r="E1101" s="620"/>
      <c r="F1101" s="620"/>
      <c r="G1101" s="620"/>
      <c r="H1101" s="620"/>
      <c r="I1101" s="620"/>
      <c r="J1101" s="620"/>
      <c r="K1101" s="570"/>
      <c r="O1101" s="1223"/>
      <c r="Q1101" s="1222"/>
    </row>
    <row r="1102" spans="2:17" x14ac:dyDescent="0.4">
      <c r="B1102" s="130"/>
      <c r="C1102" s="611">
        <v>705</v>
      </c>
      <c r="D1102" s="656" t="e">
        <f t="shared" ca="1" si="95"/>
        <v>#N/A</v>
      </c>
      <c r="E1102" s="620"/>
      <c r="F1102" s="620"/>
      <c r="G1102" s="620"/>
      <c r="H1102" s="620"/>
      <c r="I1102" s="620"/>
      <c r="J1102" s="620"/>
      <c r="K1102" s="570"/>
      <c r="O1102" s="1223"/>
      <c r="Q1102" s="1222"/>
    </row>
    <row r="1103" spans="2:17" x14ac:dyDescent="0.4">
      <c r="B1103" s="130"/>
      <c r="C1103" s="611">
        <v>706</v>
      </c>
      <c r="D1103" s="656" t="e">
        <f t="shared" ca="1" si="95"/>
        <v>#N/A</v>
      </c>
      <c r="E1103" s="620"/>
      <c r="F1103" s="620"/>
      <c r="G1103" s="620"/>
      <c r="H1103" s="620"/>
      <c r="I1103" s="620"/>
      <c r="J1103" s="620"/>
      <c r="K1103" s="570"/>
      <c r="O1103" s="1223"/>
      <c r="Q1103" s="1222"/>
    </row>
    <row r="1104" spans="2:17" x14ac:dyDescent="0.4">
      <c r="B1104" s="130"/>
      <c r="C1104" s="611">
        <v>707</v>
      </c>
      <c r="D1104" s="656" t="e">
        <f t="shared" ca="1" si="95"/>
        <v>#N/A</v>
      </c>
      <c r="E1104" s="620"/>
      <c r="F1104" s="620"/>
      <c r="G1104" s="620"/>
      <c r="H1104" s="620"/>
      <c r="I1104" s="620"/>
      <c r="J1104" s="620"/>
      <c r="K1104" s="570"/>
      <c r="O1104" s="1223"/>
      <c r="Q1104" s="1222"/>
    </row>
    <row r="1105" spans="2:17" x14ac:dyDescent="0.4">
      <c r="B1105" s="130"/>
      <c r="C1105" s="611">
        <v>708</v>
      </c>
      <c r="D1105" s="656" t="e">
        <f t="shared" ca="1" si="95"/>
        <v>#N/A</v>
      </c>
      <c r="E1105" s="620"/>
      <c r="F1105" s="620"/>
      <c r="G1105" s="620"/>
      <c r="H1105" s="620"/>
      <c r="I1105" s="620"/>
      <c r="J1105" s="620"/>
      <c r="K1105" s="570"/>
      <c r="O1105" s="1223"/>
      <c r="Q1105" s="1222"/>
    </row>
    <row r="1106" spans="2:17" x14ac:dyDescent="0.4">
      <c r="B1106" s="130"/>
      <c r="C1106" s="611">
        <v>709</v>
      </c>
      <c r="D1106" s="656" t="e">
        <f t="shared" ca="1" si="95"/>
        <v>#N/A</v>
      </c>
      <c r="E1106" s="620"/>
      <c r="F1106" s="620"/>
      <c r="G1106" s="620"/>
      <c r="H1106" s="620"/>
      <c r="I1106" s="620"/>
      <c r="J1106" s="620"/>
      <c r="K1106" s="570"/>
      <c r="O1106" s="1223"/>
      <c r="Q1106" s="1222"/>
    </row>
    <row r="1107" spans="2:17" x14ac:dyDescent="0.4">
      <c r="B1107" s="130"/>
      <c r="C1107" s="611">
        <v>710</v>
      </c>
      <c r="D1107" s="656" t="e">
        <f t="shared" ca="1" si="95"/>
        <v>#N/A</v>
      </c>
      <c r="E1107" s="620"/>
      <c r="F1107" s="620"/>
      <c r="G1107" s="620"/>
      <c r="H1107" s="620"/>
      <c r="I1107" s="620"/>
      <c r="J1107" s="620"/>
      <c r="K1107" s="570"/>
      <c r="O1107" s="1223"/>
      <c r="Q1107" s="1222"/>
    </row>
    <row r="1108" spans="2:17" x14ac:dyDescent="0.4">
      <c r="B1108" s="130"/>
      <c r="C1108" s="611">
        <v>711</v>
      </c>
      <c r="D1108" s="656" t="e">
        <f t="shared" ca="1" si="95"/>
        <v>#N/A</v>
      </c>
      <c r="E1108" s="620"/>
      <c r="F1108" s="620"/>
      <c r="G1108" s="620"/>
      <c r="H1108" s="620"/>
      <c r="I1108" s="620"/>
      <c r="J1108" s="620"/>
      <c r="K1108" s="570"/>
      <c r="O1108" s="1223"/>
      <c r="Q1108" s="1222"/>
    </row>
    <row r="1109" spans="2:17" x14ac:dyDescent="0.4">
      <c r="B1109" s="130"/>
      <c r="C1109" s="611">
        <v>712</v>
      </c>
      <c r="D1109" s="656" t="e">
        <f t="shared" ca="1" si="95"/>
        <v>#N/A</v>
      </c>
      <c r="E1109" s="620"/>
      <c r="F1109" s="620"/>
      <c r="G1109" s="620"/>
      <c r="H1109" s="620"/>
      <c r="I1109" s="620"/>
      <c r="J1109" s="620"/>
      <c r="K1109" s="570"/>
      <c r="O1109" s="1223"/>
      <c r="Q1109" s="1222"/>
    </row>
    <row r="1110" spans="2:17" x14ac:dyDescent="0.4">
      <c r="B1110" s="130"/>
      <c r="C1110" s="611">
        <v>713</v>
      </c>
      <c r="D1110" s="656" t="e">
        <f t="shared" ca="1" si="95"/>
        <v>#N/A</v>
      </c>
      <c r="E1110" s="620"/>
      <c r="F1110" s="620"/>
      <c r="G1110" s="620"/>
      <c r="H1110" s="620"/>
      <c r="I1110" s="620"/>
      <c r="J1110" s="620"/>
      <c r="K1110" s="570"/>
      <c r="O1110" s="1223"/>
      <c r="Q1110" s="1222"/>
    </row>
    <row r="1111" spans="2:17" x14ac:dyDescent="0.4">
      <c r="B1111" s="130"/>
      <c r="C1111" s="611">
        <v>714</v>
      </c>
      <c r="D1111" s="656" t="e">
        <f t="shared" ca="1" si="95"/>
        <v>#N/A</v>
      </c>
      <c r="E1111" s="620"/>
      <c r="F1111" s="620"/>
      <c r="G1111" s="620"/>
      <c r="H1111" s="620"/>
      <c r="I1111" s="620"/>
      <c r="J1111" s="620"/>
      <c r="K1111" s="570"/>
      <c r="O1111" s="1223"/>
      <c r="Q1111" s="1222"/>
    </row>
    <row r="1112" spans="2:17" x14ac:dyDescent="0.4">
      <c r="B1112" s="130"/>
      <c r="C1112" s="611">
        <v>715</v>
      </c>
      <c r="D1112" s="656" t="e">
        <f t="shared" ca="1" si="95"/>
        <v>#N/A</v>
      </c>
      <c r="E1112" s="620"/>
      <c r="F1112" s="620"/>
      <c r="G1112" s="620"/>
      <c r="H1112" s="620"/>
      <c r="I1112" s="620"/>
      <c r="J1112" s="620"/>
      <c r="K1112" s="570"/>
      <c r="O1112" s="1223"/>
      <c r="Q1112" s="1222"/>
    </row>
    <row r="1113" spans="2:17" x14ac:dyDescent="0.4">
      <c r="B1113" s="130"/>
      <c r="C1113" s="611">
        <v>716</v>
      </c>
      <c r="D1113" s="656" t="e">
        <f t="shared" ca="1" si="95"/>
        <v>#N/A</v>
      </c>
      <c r="E1113" s="620"/>
      <c r="F1113" s="620"/>
      <c r="G1113" s="620"/>
      <c r="H1113" s="620"/>
      <c r="I1113" s="620"/>
      <c r="J1113" s="620"/>
      <c r="K1113" s="570"/>
      <c r="O1113" s="1223"/>
      <c r="Q1113" s="1222"/>
    </row>
    <row r="1114" spans="2:17" x14ac:dyDescent="0.4">
      <c r="B1114" s="130"/>
      <c r="C1114" s="611">
        <v>717</v>
      </c>
      <c r="D1114" s="656" t="e">
        <f t="shared" ca="1" si="95"/>
        <v>#N/A</v>
      </c>
      <c r="E1114" s="620"/>
      <c r="F1114" s="620"/>
      <c r="G1114" s="620"/>
      <c r="H1114" s="620"/>
      <c r="I1114" s="620"/>
      <c r="J1114" s="620"/>
      <c r="K1114" s="570"/>
      <c r="O1114" s="1223"/>
      <c r="Q1114" s="1222"/>
    </row>
    <row r="1115" spans="2:17" x14ac:dyDescent="0.4">
      <c r="B1115" s="130"/>
      <c r="C1115" s="611">
        <v>718</v>
      </c>
      <c r="D1115" s="656" t="e">
        <f t="shared" ca="1" si="95"/>
        <v>#N/A</v>
      </c>
      <c r="E1115" s="620"/>
      <c r="F1115" s="620"/>
      <c r="G1115" s="620"/>
      <c r="H1115" s="620"/>
      <c r="I1115" s="620"/>
      <c r="J1115" s="620"/>
      <c r="K1115" s="570"/>
      <c r="O1115" s="1223"/>
      <c r="Q1115" s="1222"/>
    </row>
    <row r="1116" spans="2:17" x14ac:dyDescent="0.4">
      <c r="B1116" s="130"/>
      <c r="C1116" s="611">
        <v>719</v>
      </c>
      <c r="D1116" s="656" t="e">
        <f t="shared" ca="1" si="95"/>
        <v>#N/A</v>
      </c>
      <c r="E1116" s="620"/>
      <c r="F1116" s="620"/>
      <c r="G1116" s="620"/>
      <c r="H1116" s="620"/>
      <c r="I1116" s="620"/>
      <c r="J1116" s="620"/>
      <c r="K1116" s="570"/>
      <c r="O1116" s="1223"/>
      <c r="Q1116" s="1222"/>
    </row>
    <row r="1117" spans="2:17" x14ac:dyDescent="0.4">
      <c r="B1117" s="130"/>
      <c r="C1117" s="611">
        <v>720</v>
      </c>
      <c r="D1117" s="656" t="e">
        <f t="shared" ca="1" si="95"/>
        <v>#N/A</v>
      </c>
      <c r="E1117" s="620"/>
      <c r="F1117" s="620"/>
      <c r="G1117" s="620"/>
      <c r="H1117" s="620"/>
      <c r="I1117" s="620"/>
      <c r="J1117" s="620"/>
      <c r="K1117" s="570"/>
      <c r="O1117" s="1223"/>
      <c r="Q1117" s="1222"/>
    </row>
    <row r="1118" spans="2:17" x14ac:dyDescent="0.4">
      <c r="B1118" s="130"/>
      <c r="C1118" s="611">
        <v>721</v>
      </c>
      <c r="D1118" s="656" t="e">
        <f t="shared" ca="1" si="95"/>
        <v>#N/A</v>
      </c>
      <c r="E1118" s="620"/>
      <c r="F1118" s="620"/>
      <c r="G1118" s="620"/>
      <c r="H1118" s="620"/>
      <c r="I1118" s="620"/>
      <c r="J1118" s="620"/>
      <c r="K1118" s="570"/>
      <c r="O1118" s="1223"/>
      <c r="Q1118" s="1222"/>
    </row>
    <row r="1119" spans="2:17" x14ac:dyDescent="0.4">
      <c r="B1119" s="130"/>
      <c r="C1119" s="611">
        <v>722</v>
      </c>
      <c r="D1119" s="656" t="e">
        <f t="shared" ca="1" si="95"/>
        <v>#N/A</v>
      </c>
      <c r="E1119" s="620"/>
      <c r="F1119" s="620"/>
      <c r="G1119" s="620"/>
      <c r="H1119" s="620"/>
      <c r="I1119" s="620"/>
      <c r="J1119" s="620"/>
      <c r="K1119" s="570"/>
      <c r="O1119" s="1223"/>
      <c r="Q1119" s="1222"/>
    </row>
    <row r="1120" spans="2:17" x14ac:dyDescent="0.4">
      <c r="B1120" s="130"/>
      <c r="C1120" s="611">
        <v>723</v>
      </c>
      <c r="D1120" s="656" t="e">
        <f t="shared" ca="1" si="95"/>
        <v>#N/A</v>
      </c>
      <c r="E1120" s="620"/>
      <c r="F1120" s="620"/>
      <c r="G1120" s="620"/>
      <c r="H1120" s="620"/>
      <c r="I1120" s="620"/>
      <c r="J1120" s="620"/>
      <c r="K1120" s="570"/>
      <c r="O1120" s="1223"/>
      <c r="Q1120" s="1222"/>
    </row>
    <row r="1121" spans="2:17" x14ac:dyDescent="0.4">
      <c r="B1121" s="130"/>
      <c r="C1121" s="611">
        <v>724</v>
      </c>
      <c r="D1121" s="656" t="e">
        <f t="shared" ca="1" si="95"/>
        <v>#N/A</v>
      </c>
      <c r="E1121" s="620"/>
      <c r="F1121" s="620"/>
      <c r="G1121" s="620"/>
      <c r="H1121" s="620"/>
      <c r="I1121" s="620"/>
      <c r="J1121" s="620"/>
      <c r="K1121" s="570"/>
      <c r="O1121" s="1223"/>
      <c r="Q1121" s="1222"/>
    </row>
    <row r="1122" spans="2:17" x14ac:dyDescent="0.4">
      <c r="B1122" s="130"/>
      <c r="C1122" s="611">
        <v>725</v>
      </c>
      <c r="D1122" s="656" t="e">
        <f t="shared" ca="1" si="95"/>
        <v>#N/A</v>
      </c>
      <c r="E1122" s="620"/>
      <c r="F1122" s="620"/>
      <c r="G1122" s="620"/>
      <c r="H1122" s="620"/>
      <c r="I1122" s="620"/>
      <c r="J1122" s="620"/>
      <c r="K1122" s="570"/>
      <c r="O1122" s="1223"/>
      <c r="Q1122" s="1222"/>
    </row>
    <row r="1123" spans="2:17" x14ac:dyDescent="0.4">
      <c r="B1123" s="130"/>
      <c r="C1123" s="611">
        <v>726</v>
      </c>
      <c r="D1123" s="656" t="e">
        <f t="shared" ca="1" si="95"/>
        <v>#N/A</v>
      </c>
      <c r="E1123" s="620"/>
      <c r="F1123" s="620"/>
      <c r="G1123" s="620"/>
      <c r="H1123" s="620"/>
      <c r="I1123" s="620"/>
      <c r="J1123" s="620"/>
      <c r="K1123" s="570"/>
      <c r="O1123" s="1223"/>
      <c r="Q1123" s="1222"/>
    </row>
    <row r="1124" spans="2:17" x14ac:dyDescent="0.4">
      <c r="B1124" s="130"/>
      <c r="C1124" s="611">
        <v>727</v>
      </c>
      <c r="D1124" s="656" t="e">
        <f t="shared" ca="1" si="95"/>
        <v>#N/A</v>
      </c>
      <c r="E1124" s="620"/>
      <c r="F1124" s="620"/>
      <c r="G1124" s="620"/>
      <c r="H1124" s="620"/>
      <c r="I1124" s="620"/>
      <c r="J1124" s="620"/>
      <c r="K1124" s="570"/>
      <c r="O1124" s="1223"/>
      <c r="Q1124" s="1222"/>
    </row>
    <row r="1125" spans="2:17" x14ac:dyDescent="0.4">
      <c r="B1125" s="130"/>
      <c r="C1125" s="611">
        <v>728</v>
      </c>
      <c r="D1125" s="656" t="e">
        <f t="shared" ca="1" si="95"/>
        <v>#N/A</v>
      </c>
      <c r="E1125" s="620"/>
      <c r="F1125" s="620"/>
      <c r="G1125" s="620"/>
      <c r="H1125" s="620"/>
      <c r="I1125" s="620"/>
      <c r="J1125" s="620"/>
      <c r="K1125" s="570"/>
      <c r="O1125" s="1223"/>
      <c r="Q1125" s="1222"/>
    </row>
    <row r="1126" spans="2:17" x14ac:dyDescent="0.4">
      <c r="B1126" s="130"/>
      <c r="C1126" s="611">
        <v>729</v>
      </c>
      <c r="D1126" s="656" t="e">
        <f t="shared" ca="1" si="95"/>
        <v>#N/A</v>
      </c>
      <c r="E1126" s="620"/>
      <c r="F1126" s="620"/>
      <c r="G1126" s="620"/>
      <c r="H1126" s="620"/>
      <c r="I1126" s="620"/>
      <c r="J1126" s="620"/>
      <c r="K1126" s="570"/>
      <c r="O1126" s="1223"/>
      <c r="Q1126" s="1222"/>
    </row>
    <row r="1127" spans="2:17" x14ac:dyDescent="0.4">
      <c r="B1127" s="130"/>
      <c r="C1127" s="611">
        <v>730</v>
      </c>
      <c r="D1127" s="656" t="e">
        <f t="shared" ca="1" si="95"/>
        <v>#N/A</v>
      </c>
      <c r="E1127" s="620"/>
      <c r="F1127" s="620"/>
      <c r="G1127" s="620"/>
      <c r="H1127" s="620"/>
      <c r="I1127" s="620"/>
      <c r="J1127" s="620"/>
      <c r="K1127" s="570"/>
      <c r="O1127" s="1223"/>
      <c r="Q1127" s="1222"/>
    </row>
    <row r="1128" spans="2:17" x14ac:dyDescent="0.4">
      <c r="B1128" s="130"/>
      <c r="C1128" s="611">
        <v>731</v>
      </c>
      <c r="D1128" s="656" t="e">
        <f t="shared" ca="1" si="95"/>
        <v>#N/A</v>
      </c>
      <c r="E1128" s="620"/>
      <c r="F1128" s="620"/>
      <c r="G1128" s="620"/>
      <c r="H1128" s="620"/>
      <c r="I1128" s="620"/>
      <c r="J1128" s="620"/>
      <c r="K1128" s="570"/>
      <c r="O1128" s="1223"/>
      <c r="Q1128" s="1222"/>
    </row>
    <row r="1129" spans="2:17" x14ac:dyDescent="0.4">
      <c r="B1129" s="130"/>
      <c r="C1129" s="611">
        <v>732</v>
      </c>
      <c r="D1129" s="656" t="e">
        <f t="shared" ca="1" si="95"/>
        <v>#N/A</v>
      </c>
      <c r="E1129" s="620"/>
      <c r="F1129" s="620"/>
      <c r="G1129" s="620"/>
      <c r="H1129" s="620"/>
      <c r="I1129" s="620"/>
      <c r="J1129" s="620"/>
      <c r="K1129" s="570"/>
      <c r="O1129" s="1223"/>
      <c r="Q1129" s="1222"/>
    </row>
    <row r="1130" spans="2:17" x14ac:dyDescent="0.4">
      <c r="B1130" s="130"/>
      <c r="C1130" s="611">
        <v>733</v>
      </c>
      <c r="D1130" s="656" t="e">
        <f t="shared" ca="1" si="95"/>
        <v>#N/A</v>
      </c>
      <c r="E1130" s="620"/>
      <c r="F1130" s="620"/>
      <c r="G1130" s="620"/>
      <c r="H1130" s="620"/>
      <c r="I1130" s="620"/>
      <c r="J1130" s="620"/>
      <c r="K1130" s="570"/>
      <c r="O1130" s="1223"/>
      <c r="Q1130" s="1222"/>
    </row>
    <row r="1131" spans="2:17" x14ac:dyDescent="0.4">
      <c r="B1131" s="130"/>
      <c r="C1131" s="611">
        <v>734</v>
      </c>
      <c r="D1131" s="656" t="e">
        <f t="shared" ca="1" si="95"/>
        <v>#N/A</v>
      </c>
      <c r="E1131" s="620"/>
      <c r="F1131" s="620"/>
      <c r="G1131" s="620"/>
      <c r="H1131" s="620"/>
      <c r="I1131" s="620"/>
      <c r="J1131" s="620"/>
      <c r="K1131" s="570"/>
      <c r="O1131" s="1223"/>
      <c r="Q1131" s="1222"/>
    </row>
    <row r="1132" spans="2:17" x14ac:dyDescent="0.4">
      <c r="B1132" s="130"/>
      <c r="C1132" s="611">
        <v>735</v>
      </c>
      <c r="D1132" s="656" t="e">
        <f t="shared" ca="1" si="95"/>
        <v>#N/A</v>
      </c>
      <c r="E1132" s="620"/>
      <c r="F1132" s="620"/>
      <c r="G1132" s="620"/>
      <c r="H1132" s="620"/>
      <c r="I1132" s="620"/>
      <c r="J1132" s="620"/>
      <c r="K1132" s="570"/>
      <c r="O1132" s="1223"/>
      <c r="Q1132" s="1222"/>
    </row>
    <row r="1133" spans="2:17" x14ac:dyDescent="0.4">
      <c r="B1133" s="130"/>
      <c r="C1133" s="611">
        <v>736</v>
      </c>
      <c r="D1133" s="656" t="e">
        <f t="shared" ca="1" si="95"/>
        <v>#N/A</v>
      </c>
      <c r="E1133" s="620"/>
      <c r="F1133" s="620"/>
      <c r="G1133" s="620"/>
      <c r="H1133" s="620"/>
      <c r="I1133" s="620"/>
      <c r="J1133" s="620"/>
      <c r="K1133" s="570"/>
      <c r="O1133" s="1223"/>
      <c r="Q1133" s="1222"/>
    </row>
    <row r="1134" spans="2:17" x14ac:dyDescent="0.4">
      <c r="B1134" s="130"/>
      <c r="C1134" s="611">
        <v>737</v>
      </c>
      <c r="D1134" s="656" t="e">
        <f t="shared" ca="1" si="95"/>
        <v>#N/A</v>
      </c>
      <c r="E1134" s="620"/>
      <c r="F1134" s="620"/>
      <c r="G1134" s="620"/>
      <c r="H1134" s="620"/>
      <c r="I1134" s="620"/>
      <c r="J1134" s="620"/>
      <c r="K1134" s="570"/>
      <c r="O1134" s="1223"/>
      <c r="Q1134" s="1222"/>
    </row>
    <row r="1135" spans="2:17" x14ac:dyDescent="0.4">
      <c r="B1135" s="130"/>
      <c r="C1135" s="611">
        <v>738</v>
      </c>
      <c r="D1135" s="656" t="e">
        <f t="shared" ca="1" si="95"/>
        <v>#N/A</v>
      </c>
      <c r="E1135" s="620"/>
      <c r="F1135" s="620"/>
      <c r="G1135" s="620"/>
      <c r="H1135" s="620"/>
      <c r="I1135" s="620"/>
      <c r="J1135" s="620"/>
      <c r="K1135" s="570"/>
      <c r="O1135" s="1223"/>
      <c r="Q1135" s="1222"/>
    </row>
    <row r="1136" spans="2:17" x14ac:dyDescent="0.4">
      <c r="B1136" s="130"/>
      <c r="C1136" s="611">
        <v>739</v>
      </c>
      <c r="D1136" s="656" t="e">
        <f t="shared" ca="1" si="95"/>
        <v>#N/A</v>
      </c>
      <c r="E1136" s="620"/>
      <c r="F1136" s="620"/>
      <c r="G1136" s="620"/>
      <c r="H1136" s="620"/>
      <c r="I1136" s="620"/>
      <c r="J1136" s="620"/>
      <c r="K1136" s="570"/>
      <c r="O1136" s="1223"/>
      <c r="Q1136" s="1222"/>
    </row>
    <row r="1137" spans="2:17" x14ac:dyDescent="0.4">
      <c r="B1137" s="130"/>
      <c r="C1137" s="611">
        <v>740</v>
      </c>
      <c r="D1137" s="656" t="e">
        <f t="shared" ca="1" si="95"/>
        <v>#N/A</v>
      </c>
      <c r="E1137" s="620"/>
      <c r="F1137" s="620"/>
      <c r="G1137" s="620"/>
      <c r="H1137" s="620"/>
      <c r="I1137" s="620"/>
      <c r="J1137" s="620"/>
      <c r="K1137" s="570"/>
      <c r="O1137" s="1223"/>
      <c r="Q1137" s="1222"/>
    </row>
    <row r="1138" spans="2:17" x14ac:dyDescent="0.4">
      <c r="B1138" s="130"/>
      <c r="C1138" s="611">
        <v>741</v>
      </c>
      <c r="D1138" s="656" t="e">
        <f t="shared" ca="1" si="95"/>
        <v>#N/A</v>
      </c>
      <c r="E1138" s="620"/>
      <c r="F1138" s="620"/>
      <c r="G1138" s="620"/>
      <c r="H1138" s="620"/>
      <c r="I1138" s="620"/>
      <c r="J1138" s="620"/>
      <c r="K1138" s="570"/>
      <c r="O1138" s="1223"/>
      <c r="Q1138" s="1222"/>
    </row>
    <row r="1139" spans="2:17" x14ac:dyDescent="0.4">
      <c r="B1139" s="130"/>
      <c r="C1139" s="611">
        <v>742</v>
      </c>
      <c r="D1139" s="656" t="e">
        <f t="shared" ca="1" si="95"/>
        <v>#N/A</v>
      </c>
      <c r="E1139" s="620"/>
      <c r="F1139" s="620"/>
      <c r="G1139" s="620"/>
      <c r="H1139" s="620"/>
      <c r="I1139" s="620"/>
      <c r="J1139" s="620"/>
      <c r="K1139" s="570"/>
      <c r="O1139" s="1223"/>
      <c r="Q1139" s="1222"/>
    </row>
    <row r="1140" spans="2:17" x14ac:dyDescent="0.4">
      <c r="B1140" s="130"/>
      <c r="C1140" s="611">
        <v>743</v>
      </c>
      <c r="D1140" s="656" t="e">
        <f t="shared" ca="1" si="95"/>
        <v>#N/A</v>
      </c>
      <c r="E1140" s="620"/>
      <c r="F1140" s="620"/>
      <c r="G1140" s="620"/>
      <c r="H1140" s="620"/>
      <c r="I1140" s="620"/>
      <c r="J1140" s="620"/>
      <c r="K1140" s="570"/>
      <c r="O1140" s="1223"/>
      <c r="Q1140" s="1222"/>
    </row>
    <row r="1141" spans="2:17" x14ac:dyDescent="0.4">
      <c r="B1141" s="130"/>
      <c r="C1141" s="611">
        <v>744</v>
      </c>
      <c r="D1141" s="656" t="e">
        <f t="shared" ca="1" si="95"/>
        <v>#N/A</v>
      </c>
      <c r="E1141" s="620"/>
      <c r="F1141" s="620"/>
      <c r="G1141" s="620"/>
      <c r="H1141" s="620"/>
      <c r="I1141" s="620"/>
      <c r="J1141" s="620"/>
      <c r="K1141" s="570"/>
      <c r="O1141" s="1223"/>
      <c r="Q1141" s="1222"/>
    </row>
    <row r="1142" spans="2:17" x14ac:dyDescent="0.4">
      <c r="B1142" s="130"/>
      <c r="C1142" s="611">
        <v>745</v>
      </c>
      <c r="D1142" s="656" t="e">
        <f t="shared" ca="1" si="95"/>
        <v>#N/A</v>
      </c>
      <c r="E1142" s="620"/>
      <c r="F1142" s="620"/>
      <c r="G1142" s="620"/>
      <c r="H1142" s="620"/>
      <c r="I1142" s="620"/>
      <c r="J1142" s="620"/>
      <c r="K1142" s="570"/>
      <c r="O1142" s="1223"/>
      <c r="Q1142" s="1222"/>
    </row>
    <row r="1143" spans="2:17" x14ac:dyDescent="0.4">
      <c r="B1143" s="130"/>
      <c r="C1143" s="611">
        <v>746</v>
      </c>
      <c r="D1143" s="656" t="e">
        <f t="shared" ca="1" si="95"/>
        <v>#N/A</v>
      </c>
      <c r="E1143" s="620"/>
      <c r="F1143" s="620"/>
      <c r="G1143" s="620"/>
      <c r="H1143" s="620"/>
      <c r="I1143" s="620"/>
      <c r="J1143" s="620"/>
      <c r="K1143" s="570"/>
      <c r="O1143" s="1223"/>
      <c r="Q1143" s="1222"/>
    </row>
    <row r="1144" spans="2:17" x14ac:dyDescent="0.4">
      <c r="B1144" s="130"/>
      <c r="C1144" s="611">
        <v>747</v>
      </c>
      <c r="D1144" s="656" t="e">
        <f t="shared" ca="1" si="95"/>
        <v>#N/A</v>
      </c>
      <c r="E1144" s="620"/>
      <c r="F1144" s="620"/>
      <c r="G1144" s="620"/>
      <c r="H1144" s="620"/>
      <c r="I1144" s="620"/>
      <c r="J1144" s="620"/>
      <c r="K1144" s="570"/>
      <c r="O1144" s="1223"/>
      <c r="Q1144" s="1222"/>
    </row>
    <row r="1145" spans="2:17" x14ac:dyDescent="0.4">
      <c r="B1145" s="130"/>
      <c r="C1145" s="611">
        <v>748</v>
      </c>
      <c r="D1145" s="656" t="e">
        <f t="shared" ca="1" si="95"/>
        <v>#N/A</v>
      </c>
      <c r="E1145" s="620"/>
      <c r="F1145" s="620"/>
      <c r="G1145" s="620"/>
      <c r="H1145" s="620"/>
      <c r="I1145" s="620"/>
      <c r="J1145" s="620"/>
      <c r="K1145" s="570"/>
      <c r="O1145" s="1223"/>
      <c r="Q1145" s="1222"/>
    </row>
    <row r="1146" spans="2:17" x14ac:dyDescent="0.4">
      <c r="B1146" s="130"/>
      <c r="C1146" s="611">
        <v>749</v>
      </c>
      <c r="D1146" s="656" t="e">
        <f t="shared" ca="1" si="95"/>
        <v>#N/A</v>
      </c>
      <c r="E1146" s="620"/>
      <c r="F1146" s="620"/>
      <c r="G1146" s="620"/>
      <c r="H1146" s="620"/>
      <c r="I1146" s="620"/>
      <c r="J1146" s="620"/>
      <c r="K1146" s="570"/>
      <c r="O1146" s="1223"/>
      <c r="Q1146" s="1222"/>
    </row>
    <row r="1147" spans="2:17" x14ac:dyDescent="0.4">
      <c r="B1147" s="130"/>
      <c r="C1147" s="611">
        <v>750</v>
      </c>
      <c r="D1147" s="656" t="e">
        <f t="shared" ca="1" si="95"/>
        <v>#N/A</v>
      </c>
      <c r="E1147" s="620"/>
      <c r="F1147" s="620"/>
      <c r="G1147" s="620"/>
      <c r="H1147" s="620"/>
      <c r="I1147" s="620"/>
      <c r="J1147" s="620"/>
      <c r="K1147" s="570"/>
      <c r="O1147" s="1223"/>
      <c r="Q1147" s="1222"/>
    </row>
    <row r="1148" spans="2:17" x14ac:dyDescent="0.4">
      <c r="B1148" s="130"/>
      <c r="C1148" s="611">
        <v>751</v>
      </c>
      <c r="D1148" s="656" t="e">
        <f t="shared" ca="1" si="95"/>
        <v>#N/A</v>
      </c>
      <c r="E1148" s="620"/>
      <c r="F1148" s="620"/>
      <c r="G1148" s="620"/>
      <c r="H1148" s="620"/>
      <c r="I1148" s="620"/>
      <c r="J1148" s="620"/>
      <c r="K1148" s="570"/>
      <c r="O1148" s="1223"/>
      <c r="Q1148" s="1222"/>
    </row>
    <row r="1149" spans="2:17" x14ac:dyDescent="0.4">
      <c r="B1149" s="130"/>
      <c r="C1149" s="611">
        <v>752</v>
      </c>
      <c r="D1149" s="656" t="e">
        <f t="shared" ca="1" si="95"/>
        <v>#N/A</v>
      </c>
      <c r="E1149" s="620"/>
      <c r="F1149" s="620"/>
      <c r="G1149" s="620"/>
      <c r="H1149" s="620"/>
      <c r="I1149" s="620"/>
      <c r="J1149" s="620"/>
      <c r="K1149" s="570"/>
      <c r="O1149" s="1223"/>
      <c r="Q1149" s="1222"/>
    </row>
    <row r="1150" spans="2:17" x14ac:dyDescent="0.4">
      <c r="B1150" s="130"/>
      <c r="C1150" s="611">
        <v>753</v>
      </c>
      <c r="D1150" s="656" t="e">
        <f t="shared" ca="1" si="95"/>
        <v>#N/A</v>
      </c>
      <c r="E1150" s="620"/>
      <c r="F1150" s="620"/>
      <c r="G1150" s="620"/>
      <c r="H1150" s="620"/>
      <c r="I1150" s="620"/>
      <c r="J1150" s="620"/>
      <c r="K1150" s="570"/>
      <c r="O1150" s="1223"/>
      <c r="Q1150" s="1222"/>
    </row>
    <row r="1151" spans="2:17" x14ac:dyDescent="0.4">
      <c r="B1151" s="130"/>
      <c r="C1151" s="611">
        <v>754</v>
      </c>
      <c r="D1151" s="656" t="e">
        <f t="shared" ca="1" si="95"/>
        <v>#N/A</v>
      </c>
      <c r="E1151" s="620"/>
      <c r="F1151" s="620"/>
      <c r="G1151" s="620"/>
      <c r="H1151" s="620"/>
      <c r="I1151" s="620"/>
      <c r="J1151" s="620"/>
      <c r="K1151" s="570"/>
      <c r="O1151" s="1223"/>
      <c r="Q1151" s="1222"/>
    </row>
    <row r="1152" spans="2:17" x14ac:dyDescent="0.4">
      <c r="B1152" s="130"/>
      <c r="C1152" s="611">
        <v>755</v>
      </c>
      <c r="D1152" s="656" t="e">
        <f t="shared" ca="1" si="95"/>
        <v>#N/A</v>
      </c>
      <c r="E1152" s="620"/>
      <c r="F1152" s="620"/>
      <c r="G1152" s="620"/>
      <c r="H1152" s="620"/>
      <c r="I1152" s="620"/>
      <c r="J1152" s="620"/>
      <c r="K1152" s="570"/>
      <c r="O1152" s="1223"/>
      <c r="Q1152" s="1222"/>
    </row>
    <row r="1153" spans="2:17" x14ac:dyDescent="0.4">
      <c r="B1153" s="130"/>
      <c r="C1153" s="611">
        <v>756</v>
      </c>
      <c r="D1153" s="656" t="e">
        <f t="shared" ca="1" si="95"/>
        <v>#N/A</v>
      </c>
      <c r="E1153" s="620"/>
      <c r="F1153" s="620"/>
      <c r="G1153" s="620"/>
      <c r="H1153" s="620"/>
      <c r="I1153" s="620"/>
      <c r="J1153" s="620"/>
      <c r="K1153" s="570"/>
      <c r="O1153" s="1223"/>
      <c r="Q1153" s="1222"/>
    </row>
    <row r="1154" spans="2:17" x14ac:dyDescent="0.4">
      <c r="B1154" s="130"/>
      <c r="C1154" s="611">
        <v>757</v>
      </c>
      <c r="D1154" s="656" t="e">
        <f t="shared" ca="1" si="95"/>
        <v>#N/A</v>
      </c>
      <c r="E1154" s="620"/>
      <c r="F1154" s="620"/>
      <c r="G1154" s="620"/>
      <c r="H1154" s="620"/>
      <c r="I1154" s="620"/>
      <c r="J1154" s="620"/>
      <c r="K1154" s="570"/>
      <c r="O1154" s="1223"/>
      <c r="Q1154" s="1222"/>
    </row>
    <row r="1155" spans="2:17" x14ac:dyDescent="0.4">
      <c r="B1155" s="130"/>
      <c r="C1155" s="611">
        <v>758</v>
      </c>
      <c r="D1155" s="656" t="e">
        <f t="shared" ca="1" si="95"/>
        <v>#N/A</v>
      </c>
      <c r="E1155" s="620"/>
      <c r="F1155" s="620"/>
      <c r="G1155" s="620"/>
      <c r="H1155" s="620"/>
      <c r="I1155" s="620"/>
      <c r="J1155" s="620"/>
      <c r="K1155" s="570"/>
      <c r="O1155" s="1223"/>
      <c r="Q1155" s="1222"/>
    </row>
    <row r="1156" spans="2:17" x14ac:dyDescent="0.4">
      <c r="B1156" s="130"/>
      <c r="C1156" s="611">
        <v>759</v>
      </c>
      <c r="D1156" s="656" t="e">
        <f t="shared" ca="1" si="95"/>
        <v>#N/A</v>
      </c>
      <c r="E1156" s="620"/>
      <c r="F1156" s="620"/>
      <c r="G1156" s="620"/>
      <c r="H1156" s="620"/>
      <c r="I1156" s="620"/>
      <c r="J1156" s="620"/>
      <c r="K1156" s="570"/>
      <c r="O1156" s="1223"/>
      <c r="Q1156" s="1222"/>
    </row>
    <row r="1157" spans="2:17" x14ac:dyDescent="0.4">
      <c r="B1157" s="130"/>
      <c r="C1157" s="611">
        <v>760</v>
      </c>
      <c r="D1157" s="656" t="e">
        <f t="shared" ca="1" si="95"/>
        <v>#N/A</v>
      </c>
      <c r="E1157" s="620"/>
      <c r="F1157" s="620"/>
      <c r="G1157" s="620"/>
      <c r="H1157" s="620"/>
      <c r="I1157" s="620"/>
      <c r="J1157" s="620"/>
      <c r="K1157" s="570"/>
      <c r="O1157" s="1223"/>
      <c r="Q1157" s="1222"/>
    </row>
    <row r="1158" spans="2:17" x14ac:dyDescent="0.4">
      <c r="B1158" s="130"/>
      <c r="C1158" s="611">
        <v>761</v>
      </c>
      <c r="D1158" s="656" t="e">
        <f t="shared" ca="1" si="95"/>
        <v>#N/A</v>
      </c>
      <c r="E1158" s="620"/>
      <c r="F1158" s="620"/>
      <c r="G1158" s="620"/>
      <c r="H1158" s="620"/>
      <c r="I1158" s="620"/>
      <c r="J1158" s="620"/>
      <c r="K1158" s="570"/>
      <c r="O1158" s="1223"/>
      <c r="Q1158" s="1222"/>
    </row>
    <row r="1159" spans="2:17" x14ac:dyDescent="0.4">
      <c r="B1159" s="130"/>
      <c r="C1159" s="611">
        <v>762</v>
      </c>
      <c r="D1159" s="656" t="e">
        <f t="shared" ca="1" si="95"/>
        <v>#N/A</v>
      </c>
      <c r="E1159" s="620"/>
      <c r="F1159" s="620"/>
      <c r="G1159" s="620"/>
      <c r="H1159" s="620"/>
      <c r="I1159" s="620"/>
      <c r="J1159" s="620"/>
      <c r="K1159" s="570"/>
      <c r="O1159" s="1223"/>
      <c r="Q1159" s="1222"/>
    </row>
    <row r="1160" spans="2:17" x14ac:dyDescent="0.4">
      <c r="B1160" s="130"/>
      <c r="C1160" s="611">
        <v>763</v>
      </c>
      <c r="D1160" s="656" t="e">
        <f t="shared" ca="1" si="95"/>
        <v>#N/A</v>
      </c>
      <c r="E1160" s="620"/>
      <c r="F1160" s="620"/>
      <c r="G1160" s="620"/>
      <c r="H1160" s="620"/>
      <c r="I1160" s="620"/>
      <c r="J1160" s="620"/>
      <c r="K1160" s="570"/>
      <c r="O1160" s="1223"/>
      <c r="Q1160" s="1222"/>
    </row>
    <row r="1161" spans="2:17" x14ac:dyDescent="0.4">
      <c r="B1161" s="130"/>
      <c r="C1161" s="611">
        <v>764</v>
      </c>
      <c r="D1161" s="656" t="e">
        <f t="shared" ca="1" si="95"/>
        <v>#N/A</v>
      </c>
      <c r="E1161" s="620"/>
      <c r="F1161" s="620"/>
      <c r="G1161" s="620"/>
      <c r="H1161" s="620"/>
      <c r="I1161" s="620"/>
      <c r="J1161" s="620"/>
      <c r="K1161" s="570"/>
      <c r="O1161" s="1223"/>
      <c r="Q1161" s="1222"/>
    </row>
    <row r="1162" spans="2:17" x14ac:dyDescent="0.4">
      <c r="B1162" s="130"/>
      <c r="C1162" s="611">
        <v>765</v>
      </c>
      <c r="D1162" s="656" t="e">
        <f t="shared" ca="1" si="95"/>
        <v>#N/A</v>
      </c>
      <c r="E1162" s="620"/>
      <c r="F1162" s="620"/>
      <c r="G1162" s="620"/>
      <c r="H1162" s="620"/>
      <c r="I1162" s="620"/>
      <c r="J1162" s="620"/>
      <c r="K1162" s="570"/>
      <c r="O1162" s="1223"/>
      <c r="Q1162" s="1222"/>
    </row>
    <row r="1163" spans="2:17" x14ac:dyDescent="0.4">
      <c r="B1163" s="130"/>
      <c r="C1163" s="611">
        <v>766</v>
      </c>
      <c r="D1163" s="656" t="e">
        <f t="shared" ca="1" si="95"/>
        <v>#N/A</v>
      </c>
      <c r="E1163" s="620"/>
      <c r="F1163" s="620"/>
      <c r="G1163" s="620"/>
      <c r="H1163" s="620"/>
      <c r="I1163" s="620"/>
      <c r="J1163" s="620"/>
      <c r="K1163" s="570"/>
      <c r="O1163" s="1223"/>
      <c r="Q1163" s="1222"/>
    </row>
    <row r="1164" spans="2:17" x14ac:dyDescent="0.4">
      <c r="B1164" s="130"/>
      <c r="C1164" s="611">
        <v>767</v>
      </c>
      <c r="D1164" s="656" t="e">
        <f t="shared" ca="1" si="95"/>
        <v>#N/A</v>
      </c>
      <c r="E1164" s="620"/>
      <c r="F1164" s="620"/>
      <c r="G1164" s="620"/>
      <c r="H1164" s="620"/>
      <c r="I1164" s="620"/>
      <c r="J1164" s="620"/>
      <c r="K1164" s="570"/>
      <c r="O1164" s="1223"/>
      <c r="Q1164" s="1222"/>
    </row>
    <row r="1165" spans="2:17" x14ac:dyDescent="0.4">
      <c r="B1165" s="130"/>
      <c r="C1165" s="611">
        <v>768</v>
      </c>
      <c r="D1165" s="656" t="e">
        <f t="shared" ref="D1165:D1228" ca="1" si="96">$C$376*C1165</f>
        <v>#N/A</v>
      </c>
      <c r="E1165" s="620"/>
      <c r="F1165" s="620"/>
      <c r="G1165" s="620"/>
      <c r="H1165" s="620"/>
      <c r="I1165" s="620"/>
      <c r="J1165" s="620"/>
      <c r="K1165" s="570"/>
      <c r="O1165" s="1223"/>
      <c r="Q1165" s="1222"/>
    </row>
    <row r="1166" spans="2:17" x14ac:dyDescent="0.4">
      <c r="B1166" s="130"/>
      <c r="C1166" s="611">
        <v>769</v>
      </c>
      <c r="D1166" s="656" t="e">
        <f t="shared" ca="1" si="96"/>
        <v>#N/A</v>
      </c>
      <c r="E1166" s="620"/>
      <c r="F1166" s="620"/>
      <c r="G1166" s="620"/>
      <c r="H1166" s="620"/>
      <c r="I1166" s="620"/>
      <c r="J1166" s="620"/>
      <c r="K1166" s="570"/>
      <c r="O1166" s="1223"/>
      <c r="Q1166" s="1222"/>
    </row>
    <row r="1167" spans="2:17" x14ac:dyDescent="0.4">
      <c r="B1167" s="130"/>
      <c r="C1167" s="611">
        <v>770</v>
      </c>
      <c r="D1167" s="656" t="e">
        <f t="shared" ca="1" si="96"/>
        <v>#N/A</v>
      </c>
      <c r="E1167" s="620"/>
      <c r="F1167" s="620"/>
      <c r="G1167" s="620"/>
      <c r="H1167" s="620"/>
      <c r="I1167" s="620"/>
      <c r="J1167" s="620"/>
      <c r="K1167" s="570"/>
      <c r="O1167" s="1223"/>
      <c r="Q1167" s="1222"/>
    </row>
    <row r="1168" spans="2:17" x14ac:dyDescent="0.4">
      <c r="B1168" s="130"/>
      <c r="C1168" s="611">
        <v>771</v>
      </c>
      <c r="D1168" s="656" t="e">
        <f t="shared" ca="1" si="96"/>
        <v>#N/A</v>
      </c>
      <c r="E1168" s="620"/>
      <c r="F1168" s="620"/>
      <c r="G1168" s="620"/>
      <c r="H1168" s="620"/>
      <c r="I1168" s="620"/>
      <c r="J1168" s="620"/>
      <c r="K1168" s="570"/>
      <c r="O1168" s="1223"/>
      <c r="Q1168" s="1222"/>
    </row>
    <row r="1169" spans="2:17" x14ac:dyDescent="0.4">
      <c r="B1169" s="130"/>
      <c r="C1169" s="611">
        <v>772</v>
      </c>
      <c r="D1169" s="656" t="e">
        <f t="shared" ca="1" si="96"/>
        <v>#N/A</v>
      </c>
      <c r="E1169" s="620"/>
      <c r="F1169" s="620"/>
      <c r="G1169" s="620"/>
      <c r="H1169" s="620"/>
      <c r="I1169" s="620"/>
      <c r="J1169" s="620"/>
      <c r="K1169" s="570"/>
      <c r="O1169" s="1223"/>
      <c r="Q1169" s="1222"/>
    </row>
    <row r="1170" spans="2:17" x14ac:dyDescent="0.4">
      <c r="B1170" s="130"/>
      <c r="C1170" s="611">
        <v>773</v>
      </c>
      <c r="D1170" s="656" t="e">
        <f t="shared" ca="1" si="96"/>
        <v>#N/A</v>
      </c>
      <c r="E1170" s="620"/>
      <c r="F1170" s="620"/>
      <c r="G1170" s="620"/>
      <c r="H1170" s="620"/>
      <c r="I1170" s="620"/>
      <c r="J1170" s="620"/>
      <c r="K1170" s="570"/>
      <c r="O1170" s="1223"/>
      <c r="Q1170" s="1222"/>
    </row>
    <row r="1171" spans="2:17" x14ac:dyDescent="0.4">
      <c r="B1171" s="130"/>
      <c r="C1171" s="611">
        <v>774</v>
      </c>
      <c r="D1171" s="656" t="e">
        <f t="shared" ca="1" si="96"/>
        <v>#N/A</v>
      </c>
      <c r="E1171" s="620"/>
      <c r="F1171" s="620"/>
      <c r="G1171" s="620"/>
      <c r="H1171" s="620"/>
      <c r="I1171" s="620"/>
      <c r="J1171" s="620"/>
      <c r="K1171" s="570"/>
      <c r="O1171" s="1223"/>
      <c r="Q1171" s="1222"/>
    </row>
    <row r="1172" spans="2:17" x14ac:dyDescent="0.4">
      <c r="B1172" s="130"/>
      <c r="C1172" s="611">
        <v>775</v>
      </c>
      <c r="D1172" s="656" t="e">
        <f t="shared" ca="1" si="96"/>
        <v>#N/A</v>
      </c>
      <c r="E1172" s="620"/>
      <c r="F1172" s="620"/>
      <c r="G1172" s="620"/>
      <c r="H1172" s="620"/>
      <c r="I1172" s="620"/>
      <c r="J1172" s="620"/>
      <c r="K1172" s="570"/>
      <c r="O1172" s="1223"/>
      <c r="Q1172" s="1222"/>
    </row>
    <row r="1173" spans="2:17" x14ac:dyDescent="0.4">
      <c r="B1173" s="130"/>
      <c r="C1173" s="611">
        <v>776</v>
      </c>
      <c r="D1173" s="656" t="e">
        <f t="shared" ca="1" si="96"/>
        <v>#N/A</v>
      </c>
      <c r="E1173" s="620"/>
      <c r="F1173" s="620"/>
      <c r="G1173" s="620"/>
      <c r="H1173" s="620"/>
      <c r="I1173" s="620"/>
      <c r="J1173" s="620"/>
      <c r="K1173" s="570"/>
      <c r="O1173" s="1223"/>
      <c r="Q1173" s="1222"/>
    </row>
    <row r="1174" spans="2:17" x14ac:dyDescent="0.4">
      <c r="B1174" s="130"/>
      <c r="C1174" s="611">
        <v>777</v>
      </c>
      <c r="D1174" s="656" t="e">
        <f t="shared" ca="1" si="96"/>
        <v>#N/A</v>
      </c>
      <c r="E1174" s="620"/>
      <c r="F1174" s="620"/>
      <c r="G1174" s="620"/>
      <c r="H1174" s="620"/>
      <c r="I1174" s="620"/>
      <c r="J1174" s="620"/>
      <c r="K1174" s="570"/>
      <c r="O1174" s="1223"/>
      <c r="Q1174" s="1222"/>
    </row>
    <row r="1175" spans="2:17" x14ac:dyDescent="0.4">
      <c r="B1175" s="130"/>
      <c r="C1175" s="611">
        <v>778</v>
      </c>
      <c r="D1175" s="656" t="e">
        <f t="shared" ca="1" si="96"/>
        <v>#N/A</v>
      </c>
      <c r="E1175" s="620"/>
      <c r="F1175" s="620"/>
      <c r="G1175" s="620"/>
      <c r="H1175" s="620"/>
      <c r="I1175" s="620"/>
      <c r="J1175" s="620"/>
      <c r="K1175" s="570"/>
      <c r="O1175" s="1223"/>
      <c r="Q1175" s="1222"/>
    </row>
    <row r="1176" spans="2:17" x14ac:dyDescent="0.4">
      <c r="B1176" s="130"/>
      <c r="C1176" s="611">
        <v>779</v>
      </c>
      <c r="D1176" s="656" t="e">
        <f t="shared" ca="1" si="96"/>
        <v>#N/A</v>
      </c>
      <c r="E1176" s="620"/>
      <c r="F1176" s="620"/>
      <c r="G1176" s="620"/>
      <c r="H1176" s="620"/>
      <c r="I1176" s="620"/>
      <c r="J1176" s="620"/>
      <c r="K1176" s="570"/>
      <c r="O1176" s="1223"/>
      <c r="Q1176" s="1222"/>
    </row>
    <row r="1177" spans="2:17" x14ac:dyDescent="0.4">
      <c r="B1177" s="130"/>
      <c r="C1177" s="611">
        <v>780</v>
      </c>
      <c r="D1177" s="656" t="e">
        <f t="shared" ca="1" si="96"/>
        <v>#N/A</v>
      </c>
      <c r="E1177" s="620"/>
      <c r="F1177" s="620"/>
      <c r="G1177" s="620"/>
      <c r="H1177" s="620"/>
      <c r="I1177" s="620"/>
      <c r="J1177" s="620"/>
      <c r="K1177" s="570"/>
      <c r="O1177" s="1223"/>
      <c r="Q1177" s="1222"/>
    </row>
    <row r="1178" spans="2:17" x14ac:dyDescent="0.4">
      <c r="B1178" s="130"/>
      <c r="C1178" s="611">
        <v>781</v>
      </c>
      <c r="D1178" s="656" t="e">
        <f t="shared" ca="1" si="96"/>
        <v>#N/A</v>
      </c>
      <c r="E1178" s="620"/>
      <c r="F1178" s="620"/>
      <c r="G1178" s="620"/>
      <c r="H1178" s="620"/>
      <c r="I1178" s="620"/>
      <c r="J1178" s="620"/>
      <c r="K1178" s="570"/>
      <c r="O1178" s="1223"/>
      <c r="Q1178" s="1222"/>
    </row>
    <row r="1179" spans="2:17" x14ac:dyDescent="0.4">
      <c r="B1179" s="130"/>
      <c r="C1179" s="611">
        <v>782</v>
      </c>
      <c r="D1179" s="656" t="e">
        <f t="shared" ca="1" si="96"/>
        <v>#N/A</v>
      </c>
      <c r="E1179" s="620"/>
      <c r="F1179" s="620"/>
      <c r="G1179" s="620"/>
      <c r="H1179" s="620"/>
      <c r="I1179" s="620"/>
      <c r="J1179" s="620"/>
      <c r="K1179" s="570"/>
      <c r="O1179" s="1223"/>
      <c r="Q1179" s="1222"/>
    </row>
    <row r="1180" spans="2:17" x14ac:dyDescent="0.4">
      <c r="B1180" s="130"/>
      <c r="C1180" s="611">
        <v>783</v>
      </c>
      <c r="D1180" s="656" t="e">
        <f t="shared" ca="1" si="96"/>
        <v>#N/A</v>
      </c>
      <c r="E1180" s="620"/>
      <c r="F1180" s="620"/>
      <c r="G1180" s="620"/>
      <c r="H1180" s="620"/>
      <c r="I1180" s="620"/>
      <c r="J1180" s="620"/>
      <c r="K1180" s="570"/>
      <c r="O1180" s="1223"/>
      <c r="Q1180" s="1222"/>
    </row>
    <row r="1181" spans="2:17" x14ac:dyDescent="0.4">
      <c r="B1181" s="130"/>
      <c r="C1181" s="611">
        <v>784</v>
      </c>
      <c r="D1181" s="656" t="e">
        <f t="shared" ca="1" si="96"/>
        <v>#N/A</v>
      </c>
      <c r="E1181" s="620"/>
      <c r="F1181" s="620"/>
      <c r="G1181" s="620"/>
      <c r="H1181" s="620"/>
      <c r="I1181" s="620"/>
      <c r="J1181" s="620"/>
      <c r="K1181" s="570"/>
      <c r="O1181" s="1223"/>
      <c r="Q1181" s="1222"/>
    </row>
    <row r="1182" spans="2:17" x14ac:dyDescent="0.4">
      <c r="B1182" s="130"/>
      <c r="C1182" s="611">
        <v>785</v>
      </c>
      <c r="D1182" s="656" t="e">
        <f t="shared" ca="1" si="96"/>
        <v>#N/A</v>
      </c>
      <c r="E1182" s="620"/>
      <c r="F1182" s="620"/>
      <c r="G1182" s="620"/>
      <c r="H1182" s="620"/>
      <c r="I1182" s="620"/>
      <c r="J1182" s="620"/>
      <c r="K1182" s="570"/>
      <c r="O1182" s="1223"/>
      <c r="Q1182" s="1222"/>
    </row>
    <row r="1183" spans="2:17" x14ac:dyDescent="0.4">
      <c r="B1183" s="130"/>
      <c r="C1183" s="611">
        <v>786</v>
      </c>
      <c r="D1183" s="656" t="e">
        <f t="shared" ca="1" si="96"/>
        <v>#N/A</v>
      </c>
      <c r="E1183" s="620"/>
      <c r="F1183" s="620"/>
      <c r="G1183" s="620"/>
      <c r="H1183" s="620"/>
      <c r="I1183" s="620"/>
      <c r="J1183" s="620"/>
      <c r="K1183" s="570"/>
      <c r="O1183" s="1223"/>
      <c r="Q1183" s="1222"/>
    </row>
    <row r="1184" spans="2:17" x14ac:dyDescent="0.4">
      <c r="B1184" s="130"/>
      <c r="C1184" s="611">
        <v>787</v>
      </c>
      <c r="D1184" s="656" t="e">
        <f t="shared" ca="1" si="96"/>
        <v>#N/A</v>
      </c>
      <c r="E1184" s="620"/>
      <c r="F1184" s="620"/>
      <c r="G1184" s="620"/>
      <c r="H1184" s="620"/>
      <c r="I1184" s="620"/>
      <c r="J1184" s="620"/>
      <c r="K1184" s="570"/>
      <c r="O1184" s="1223"/>
      <c r="Q1184" s="1222"/>
    </row>
    <row r="1185" spans="2:17" x14ac:dyDescent="0.4">
      <c r="B1185" s="130"/>
      <c r="C1185" s="611">
        <v>788</v>
      </c>
      <c r="D1185" s="656" t="e">
        <f t="shared" ca="1" si="96"/>
        <v>#N/A</v>
      </c>
      <c r="E1185" s="620"/>
      <c r="F1185" s="620"/>
      <c r="G1185" s="620"/>
      <c r="H1185" s="620"/>
      <c r="I1185" s="620"/>
      <c r="J1185" s="620"/>
      <c r="K1185" s="570"/>
      <c r="O1185" s="1223"/>
      <c r="Q1185" s="1222"/>
    </row>
    <row r="1186" spans="2:17" x14ac:dyDescent="0.4">
      <c r="B1186" s="130"/>
      <c r="C1186" s="611">
        <v>789</v>
      </c>
      <c r="D1186" s="656" t="e">
        <f t="shared" ca="1" si="96"/>
        <v>#N/A</v>
      </c>
      <c r="E1186" s="620"/>
      <c r="F1186" s="620"/>
      <c r="G1186" s="620"/>
      <c r="H1186" s="620"/>
      <c r="I1186" s="620"/>
      <c r="J1186" s="620"/>
      <c r="K1186" s="570"/>
      <c r="O1186" s="1223"/>
      <c r="Q1186" s="1222"/>
    </row>
    <row r="1187" spans="2:17" x14ac:dyDescent="0.4">
      <c r="B1187" s="130"/>
      <c r="C1187" s="611">
        <v>790</v>
      </c>
      <c r="D1187" s="656" t="e">
        <f t="shared" ca="1" si="96"/>
        <v>#N/A</v>
      </c>
      <c r="E1187" s="620"/>
      <c r="F1187" s="620"/>
      <c r="G1187" s="620"/>
      <c r="H1187" s="620"/>
      <c r="I1187" s="620"/>
      <c r="J1187" s="620"/>
      <c r="K1187" s="570"/>
      <c r="O1187" s="1223"/>
      <c r="Q1187" s="1222"/>
    </row>
    <row r="1188" spans="2:17" x14ac:dyDescent="0.4">
      <c r="B1188" s="130"/>
      <c r="C1188" s="611">
        <v>791</v>
      </c>
      <c r="D1188" s="656" t="e">
        <f t="shared" ca="1" si="96"/>
        <v>#N/A</v>
      </c>
      <c r="E1188" s="620"/>
      <c r="F1188" s="620"/>
      <c r="G1188" s="620"/>
      <c r="H1188" s="620"/>
      <c r="I1188" s="620"/>
      <c r="J1188" s="620"/>
      <c r="K1188" s="570"/>
      <c r="O1188" s="1223"/>
      <c r="Q1188" s="1222"/>
    </row>
    <row r="1189" spans="2:17" x14ac:dyDescent="0.4">
      <c r="B1189" s="130"/>
      <c r="C1189" s="611">
        <v>792</v>
      </c>
      <c r="D1189" s="656" t="e">
        <f t="shared" ca="1" si="96"/>
        <v>#N/A</v>
      </c>
      <c r="E1189" s="620"/>
      <c r="F1189" s="620"/>
      <c r="G1189" s="620"/>
      <c r="H1189" s="620"/>
      <c r="I1189" s="620"/>
      <c r="J1189" s="620"/>
      <c r="K1189" s="570"/>
      <c r="O1189" s="1223"/>
      <c r="Q1189" s="1222"/>
    </row>
    <row r="1190" spans="2:17" x14ac:dyDescent="0.4">
      <c r="B1190" s="130"/>
      <c r="C1190" s="611">
        <v>793</v>
      </c>
      <c r="D1190" s="656" t="e">
        <f t="shared" ca="1" si="96"/>
        <v>#N/A</v>
      </c>
      <c r="E1190" s="620"/>
      <c r="F1190" s="620"/>
      <c r="G1190" s="620"/>
      <c r="H1190" s="620"/>
      <c r="I1190" s="620"/>
      <c r="J1190" s="620"/>
      <c r="K1190" s="570"/>
      <c r="O1190" s="1223"/>
      <c r="Q1190" s="1222"/>
    </row>
    <row r="1191" spans="2:17" x14ac:dyDescent="0.4">
      <c r="B1191" s="130"/>
      <c r="C1191" s="611">
        <v>794</v>
      </c>
      <c r="D1191" s="656" t="e">
        <f t="shared" ca="1" si="96"/>
        <v>#N/A</v>
      </c>
      <c r="E1191" s="620"/>
      <c r="F1191" s="620"/>
      <c r="G1191" s="620"/>
      <c r="H1191" s="620"/>
      <c r="I1191" s="620"/>
      <c r="J1191" s="620"/>
      <c r="K1191" s="570"/>
      <c r="O1191" s="1223"/>
      <c r="Q1191" s="1222"/>
    </row>
    <row r="1192" spans="2:17" x14ac:dyDescent="0.4">
      <c r="B1192" s="130"/>
      <c r="C1192" s="611">
        <v>795</v>
      </c>
      <c r="D1192" s="656" t="e">
        <f t="shared" ca="1" si="96"/>
        <v>#N/A</v>
      </c>
      <c r="E1192" s="620"/>
      <c r="F1192" s="620"/>
      <c r="G1192" s="620"/>
      <c r="H1192" s="620"/>
      <c r="I1192" s="620"/>
      <c r="J1192" s="620"/>
      <c r="K1192" s="570"/>
      <c r="O1192" s="1223"/>
      <c r="Q1192" s="1222"/>
    </row>
    <row r="1193" spans="2:17" x14ac:dyDescent="0.4">
      <c r="B1193" s="130"/>
      <c r="C1193" s="611">
        <v>796</v>
      </c>
      <c r="D1193" s="656" t="e">
        <f t="shared" ca="1" si="96"/>
        <v>#N/A</v>
      </c>
      <c r="E1193" s="620"/>
      <c r="F1193" s="620"/>
      <c r="G1193" s="620"/>
      <c r="H1193" s="620"/>
      <c r="I1193" s="620"/>
      <c r="J1193" s="620"/>
      <c r="K1193" s="570"/>
      <c r="O1193" s="1223"/>
      <c r="Q1193" s="1222"/>
    </row>
    <row r="1194" spans="2:17" x14ac:dyDescent="0.4">
      <c r="B1194" s="130"/>
      <c r="C1194" s="611">
        <v>797</v>
      </c>
      <c r="D1194" s="656" t="e">
        <f t="shared" ca="1" si="96"/>
        <v>#N/A</v>
      </c>
      <c r="E1194" s="620"/>
      <c r="F1194" s="620"/>
      <c r="G1194" s="620"/>
      <c r="H1194" s="620"/>
      <c r="I1194" s="620"/>
      <c r="J1194" s="620"/>
      <c r="K1194" s="570"/>
      <c r="O1194" s="1223"/>
      <c r="Q1194" s="1222"/>
    </row>
    <row r="1195" spans="2:17" x14ac:dyDescent="0.4">
      <c r="B1195" s="130"/>
      <c r="C1195" s="611">
        <v>798</v>
      </c>
      <c r="D1195" s="656" t="e">
        <f t="shared" ca="1" si="96"/>
        <v>#N/A</v>
      </c>
      <c r="E1195" s="620"/>
      <c r="F1195" s="620"/>
      <c r="G1195" s="620"/>
      <c r="H1195" s="620"/>
      <c r="I1195" s="620"/>
      <c r="J1195" s="620"/>
      <c r="K1195" s="570"/>
      <c r="O1195" s="1223"/>
      <c r="Q1195" s="1222"/>
    </row>
    <row r="1196" spans="2:17" x14ac:dyDescent="0.4">
      <c r="B1196" s="130"/>
      <c r="C1196" s="611">
        <v>799</v>
      </c>
      <c r="D1196" s="656" t="e">
        <f t="shared" ca="1" si="96"/>
        <v>#N/A</v>
      </c>
      <c r="E1196" s="620"/>
      <c r="F1196" s="620"/>
      <c r="G1196" s="620"/>
      <c r="H1196" s="620"/>
      <c r="I1196" s="620"/>
      <c r="J1196" s="620"/>
      <c r="K1196" s="570"/>
      <c r="O1196" s="1223"/>
      <c r="Q1196" s="1222"/>
    </row>
    <row r="1197" spans="2:17" x14ac:dyDescent="0.4">
      <c r="B1197" s="130"/>
      <c r="C1197" s="611">
        <v>800</v>
      </c>
      <c r="D1197" s="656" t="e">
        <f t="shared" ca="1" si="96"/>
        <v>#N/A</v>
      </c>
      <c r="E1197" s="620"/>
      <c r="F1197" s="620"/>
      <c r="G1197" s="620"/>
      <c r="H1197" s="620"/>
      <c r="I1197" s="620"/>
      <c r="J1197" s="620"/>
      <c r="K1197" s="570"/>
      <c r="O1197" s="1223"/>
      <c r="Q1197" s="1222"/>
    </row>
    <row r="1198" spans="2:17" x14ac:dyDescent="0.4">
      <c r="B1198" s="130"/>
      <c r="C1198" s="611">
        <v>801</v>
      </c>
      <c r="D1198" s="656" t="e">
        <f t="shared" ca="1" si="96"/>
        <v>#N/A</v>
      </c>
      <c r="E1198" s="620"/>
      <c r="F1198" s="620"/>
      <c r="G1198" s="620"/>
      <c r="H1198" s="620"/>
      <c r="I1198" s="620"/>
      <c r="J1198" s="620"/>
      <c r="K1198" s="570"/>
      <c r="O1198" s="1223"/>
      <c r="Q1198" s="1222"/>
    </row>
    <row r="1199" spans="2:17" x14ac:dyDescent="0.4">
      <c r="B1199" s="130"/>
      <c r="C1199" s="611">
        <v>802</v>
      </c>
      <c r="D1199" s="656" t="e">
        <f t="shared" ca="1" si="96"/>
        <v>#N/A</v>
      </c>
      <c r="E1199" s="620"/>
      <c r="F1199" s="620"/>
      <c r="G1199" s="620"/>
      <c r="H1199" s="620"/>
      <c r="I1199" s="620"/>
      <c r="J1199" s="620"/>
      <c r="K1199" s="570"/>
      <c r="O1199" s="1223"/>
      <c r="Q1199" s="1222"/>
    </row>
    <row r="1200" spans="2:17" x14ac:dyDescent="0.4">
      <c r="B1200" s="130"/>
      <c r="C1200" s="611">
        <v>803</v>
      </c>
      <c r="D1200" s="656" t="e">
        <f t="shared" ca="1" si="96"/>
        <v>#N/A</v>
      </c>
      <c r="E1200" s="620"/>
      <c r="F1200" s="620"/>
      <c r="G1200" s="620"/>
      <c r="H1200" s="620"/>
      <c r="I1200" s="620"/>
      <c r="J1200" s="620"/>
      <c r="K1200" s="570"/>
      <c r="O1200" s="1223"/>
      <c r="Q1200" s="1222"/>
    </row>
    <row r="1201" spans="2:17" x14ac:dyDescent="0.4">
      <c r="B1201" s="130"/>
      <c r="C1201" s="611">
        <v>804</v>
      </c>
      <c r="D1201" s="656" t="e">
        <f t="shared" ca="1" si="96"/>
        <v>#N/A</v>
      </c>
      <c r="E1201" s="620"/>
      <c r="F1201" s="620"/>
      <c r="G1201" s="620"/>
      <c r="H1201" s="620"/>
      <c r="I1201" s="620"/>
      <c r="J1201" s="620"/>
      <c r="K1201" s="570"/>
      <c r="O1201" s="1223"/>
      <c r="Q1201" s="1222"/>
    </row>
    <row r="1202" spans="2:17" x14ac:dyDescent="0.4">
      <c r="B1202" s="130"/>
      <c r="C1202" s="611">
        <v>805</v>
      </c>
      <c r="D1202" s="656" t="e">
        <f t="shared" ca="1" si="96"/>
        <v>#N/A</v>
      </c>
      <c r="E1202" s="620"/>
      <c r="F1202" s="620"/>
      <c r="G1202" s="620"/>
      <c r="H1202" s="620"/>
      <c r="I1202" s="620"/>
      <c r="J1202" s="620"/>
      <c r="K1202" s="570"/>
      <c r="O1202" s="1223"/>
      <c r="Q1202" s="1222"/>
    </row>
    <row r="1203" spans="2:17" x14ac:dyDescent="0.4">
      <c r="B1203" s="130"/>
      <c r="C1203" s="611">
        <v>806</v>
      </c>
      <c r="D1203" s="656" t="e">
        <f t="shared" ca="1" si="96"/>
        <v>#N/A</v>
      </c>
      <c r="E1203" s="620"/>
      <c r="F1203" s="620"/>
      <c r="G1203" s="620"/>
      <c r="H1203" s="620"/>
      <c r="I1203" s="620"/>
      <c r="J1203" s="620"/>
      <c r="K1203" s="570"/>
      <c r="O1203" s="1223"/>
      <c r="Q1203" s="1222"/>
    </row>
    <row r="1204" spans="2:17" x14ac:dyDescent="0.4">
      <c r="B1204" s="130"/>
      <c r="C1204" s="611">
        <v>807</v>
      </c>
      <c r="D1204" s="656" t="e">
        <f t="shared" ca="1" si="96"/>
        <v>#N/A</v>
      </c>
      <c r="E1204" s="620"/>
      <c r="F1204" s="620"/>
      <c r="G1204" s="620"/>
      <c r="H1204" s="620"/>
      <c r="I1204" s="620"/>
      <c r="J1204" s="620"/>
      <c r="K1204" s="570"/>
      <c r="O1204" s="1223"/>
      <c r="Q1204" s="1222"/>
    </row>
    <row r="1205" spans="2:17" x14ac:dyDescent="0.4">
      <c r="B1205" s="130"/>
      <c r="C1205" s="611">
        <v>808</v>
      </c>
      <c r="D1205" s="656" t="e">
        <f t="shared" ca="1" si="96"/>
        <v>#N/A</v>
      </c>
      <c r="E1205" s="620"/>
      <c r="F1205" s="620"/>
      <c r="G1205" s="620"/>
      <c r="H1205" s="620"/>
      <c r="I1205" s="620"/>
      <c r="J1205" s="620"/>
      <c r="K1205" s="570"/>
      <c r="O1205" s="1223"/>
      <c r="Q1205" s="1222"/>
    </row>
    <row r="1206" spans="2:17" x14ac:dyDescent="0.4">
      <c r="B1206" s="130"/>
      <c r="C1206" s="611">
        <v>809</v>
      </c>
      <c r="D1206" s="656" t="e">
        <f t="shared" ca="1" si="96"/>
        <v>#N/A</v>
      </c>
      <c r="E1206" s="620"/>
      <c r="F1206" s="620"/>
      <c r="G1206" s="620"/>
      <c r="H1206" s="620"/>
      <c r="I1206" s="620"/>
      <c r="J1206" s="620"/>
      <c r="K1206" s="570"/>
      <c r="O1206" s="1223"/>
      <c r="Q1206" s="1222"/>
    </row>
    <row r="1207" spans="2:17" x14ac:dyDescent="0.4">
      <c r="B1207" s="130"/>
      <c r="C1207" s="611">
        <v>810</v>
      </c>
      <c r="D1207" s="656" t="e">
        <f t="shared" ca="1" si="96"/>
        <v>#N/A</v>
      </c>
      <c r="E1207" s="620"/>
      <c r="F1207" s="620"/>
      <c r="G1207" s="620"/>
      <c r="H1207" s="620"/>
      <c r="I1207" s="620"/>
      <c r="J1207" s="620"/>
      <c r="K1207" s="570"/>
      <c r="O1207" s="1223"/>
      <c r="Q1207" s="1222"/>
    </row>
    <row r="1208" spans="2:17" x14ac:dyDescent="0.4">
      <c r="B1208" s="130"/>
      <c r="C1208" s="611">
        <v>811</v>
      </c>
      <c r="D1208" s="656" t="e">
        <f t="shared" ca="1" si="96"/>
        <v>#N/A</v>
      </c>
      <c r="E1208" s="620"/>
      <c r="F1208" s="620"/>
      <c r="G1208" s="620"/>
      <c r="H1208" s="620"/>
      <c r="I1208" s="620"/>
      <c r="J1208" s="620"/>
      <c r="K1208" s="570"/>
      <c r="O1208" s="1223"/>
      <c r="Q1208" s="1222"/>
    </row>
    <row r="1209" spans="2:17" x14ac:dyDescent="0.4">
      <c r="B1209" s="130"/>
      <c r="C1209" s="611">
        <v>812</v>
      </c>
      <c r="D1209" s="656" t="e">
        <f t="shared" ca="1" si="96"/>
        <v>#N/A</v>
      </c>
      <c r="E1209" s="620"/>
      <c r="F1209" s="620"/>
      <c r="G1209" s="620"/>
      <c r="H1209" s="620"/>
      <c r="I1209" s="620"/>
      <c r="J1209" s="620"/>
      <c r="K1209" s="570"/>
      <c r="O1209" s="1223"/>
      <c r="Q1209" s="1222"/>
    </row>
    <row r="1210" spans="2:17" x14ac:dyDescent="0.4">
      <c r="B1210" s="130"/>
      <c r="C1210" s="611">
        <v>813</v>
      </c>
      <c r="D1210" s="656" t="e">
        <f t="shared" ca="1" si="96"/>
        <v>#N/A</v>
      </c>
      <c r="E1210" s="620"/>
      <c r="F1210" s="620"/>
      <c r="G1210" s="620"/>
      <c r="H1210" s="620"/>
      <c r="I1210" s="620"/>
      <c r="J1210" s="620"/>
      <c r="K1210" s="570"/>
      <c r="O1210" s="1223"/>
      <c r="Q1210" s="1222"/>
    </row>
    <row r="1211" spans="2:17" x14ac:dyDescent="0.4">
      <c r="B1211" s="130"/>
      <c r="C1211" s="611">
        <v>814</v>
      </c>
      <c r="D1211" s="656" t="e">
        <f t="shared" ca="1" si="96"/>
        <v>#N/A</v>
      </c>
      <c r="E1211" s="620"/>
      <c r="F1211" s="620"/>
      <c r="G1211" s="620"/>
      <c r="H1211" s="620"/>
      <c r="I1211" s="620"/>
      <c r="J1211" s="620"/>
      <c r="K1211" s="570"/>
      <c r="O1211" s="1223"/>
      <c r="Q1211" s="1222"/>
    </row>
    <row r="1212" spans="2:17" x14ac:dyDescent="0.4">
      <c r="B1212" s="130"/>
      <c r="C1212" s="611">
        <v>815</v>
      </c>
      <c r="D1212" s="656" t="e">
        <f t="shared" ca="1" si="96"/>
        <v>#N/A</v>
      </c>
      <c r="E1212" s="620"/>
      <c r="F1212" s="620"/>
      <c r="G1212" s="620"/>
      <c r="H1212" s="620"/>
      <c r="I1212" s="620"/>
      <c r="J1212" s="620"/>
      <c r="K1212" s="570"/>
      <c r="O1212" s="1223"/>
      <c r="Q1212" s="1222"/>
    </row>
    <row r="1213" spans="2:17" x14ac:dyDescent="0.4">
      <c r="B1213" s="130"/>
      <c r="C1213" s="611">
        <v>816</v>
      </c>
      <c r="D1213" s="656" t="e">
        <f t="shared" ca="1" si="96"/>
        <v>#N/A</v>
      </c>
      <c r="E1213" s="620"/>
      <c r="F1213" s="620"/>
      <c r="G1213" s="620"/>
      <c r="H1213" s="620"/>
      <c r="I1213" s="620"/>
      <c r="J1213" s="620"/>
      <c r="K1213" s="570"/>
      <c r="O1213" s="1223"/>
      <c r="Q1213" s="1222"/>
    </row>
    <row r="1214" spans="2:17" x14ac:dyDescent="0.4">
      <c r="B1214" s="130"/>
      <c r="C1214" s="611">
        <v>817</v>
      </c>
      <c r="D1214" s="656" t="e">
        <f t="shared" ca="1" si="96"/>
        <v>#N/A</v>
      </c>
      <c r="E1214" s="620"/>
      <c r="F1214" s="620"/>
      <c r="G1214" s="620"/>
      <c r="H1214" s="620"/>
      <c r="I1214" s="620"/>
      <c r="J1214" s="620"/>
      <c r="K1214" s="570"/>
      <c r="O1214" s="1223"/>
      <c r="Q1214" s="1222"/>
    </row>
    <row r="1215" spans="2:17" x14ac:dyDescent="0.4">
      <c r="B1215" s="130"/>
      <c r="C1215" s="611">
        <v>818</v>
      </c>
      <c r="D1215" s="656" t="e">
        <f t="shared" ca="1" si="96"/>
        <v>#N/A</v>
      </c>
      <c r="E1215" s="620"/>
      <c r="F1215" s="620"/>
      <c r="G1215" s="620"/>
      <c r="H1215" s="620"/>
      <c r="I1215" s="620"/>
      <c r="J1215" s="620"/>
      <c r="K1215" s="570"/>
      <c r="O1215" s="1223"/>
      <c r="Q1215" s="1222"/>
    </row>
    <row r="1216" spans="2:17" x14ac:dyDescent="0.4">
      <c r="B1216" s="130"/>
      <c r="C1216" s="611">
        <v>819</v>
      </c>
      <c r="D1216" s="656" t="e">
        <f t="shared" ca="1" si="96"/>
        <v>#N/A</v>
      </c>
      <c r="E1216" s="620"/>
      <c r="F1216" s="620"/>
      <c r="G1216" s="620"/>
      <c r="H1216" s="620"/>
      <c r="I1216" s="620"/>
      <c r="J1216" s="620"/>
      <c r="K1216" s="570"/>
      <c r="O1216" s="1223"/>
      <c r="Q1216" s="1222"/>
    </row>
    <row r="1217" spans="2:17" x14ac:dyDescent="0.4">
      <c r="B1217" s="130"/>
      <c r="C1217" s="611">
        <v>820</v>
      </c>
      <c r="D1217" s="656" t="e">
        <f t="shared" ca="1" si="96"/>
        <v>#N/A</v>
      </c>
      <c r="E1217" s="620"/>
      <c r="F1217" s="620"/>
      <c r="G1217" s="620"/>
      <c r="H1217" s="620"/>
      <c r="I1217" s="620"/>
      <c r="J1217" s="620"/>
      <c r="K1217" s="570"/>
      <c r="O1217" s="1223"/>
      <c r="Q1217" s="1222"/>
    </row>
    <row r="1218" spans="2:17" x14ac:dyDescent="0.4">
      <c r="B1218" s="130"/>
      <c r="C1218" s="611">
        <v>821</v>
      </c>
      <c r="D1218" s="656" t="e">
        <f t="shared" ca="1" si="96"/>
        <v>#N/A</v>
      </c>
      <c r="E1218" s="620"/>
      <c r="F1218" s="620"/>
      <c r="G1218" s="620"/>
      <c r="H1218" s="620"/>
      <c r="I1218" s="620"/>
      <c r="J1218" s="620"/>
      <c r="K1218" s="570"/>
      <c r="O1218" s="1223"/>
      <c r="Q1218" s="1222"/>
    </row>
    <row r="1219" spans="2:17" x14ac:dyDescent="0.4">
      <c r="B1219" s="130"/>
      <c r="C1219" s="611">
        <v>822</v>
      </c>
      <c r="D1219" s="656" t="e">
        <f t="shared" ca="1" si="96"/>
        <v>#N/A</v>
      </c>
      <c r="E1219" s="620"/>
      <c r="F1219" s="620"/>
      <c r="G1219" s="620"/>
      <c r="H1219" s="620"/>
      <c r="I1219" s="620"/>
      <c r="J1219" s="620"/>
      <c r="K1219" s="570"/>
      <c r="O1219" s="1223"/>
      <c r="Q1219" s="1222"/>
    </row>
    <row r="1220" spans="2:17" x14ac:dyDescent="0.4">
      <c r="B1220" s="130"/>
      <c r="C1220" s="611">
        <v>823</v>
      </c>
      <c r="D1220" s="656" t="e">
        <f t="shared" ca="1" si="96"/>
        <v>#N/A</v>
      </c>
      <c r="E1220" s="620"/>
      <c r="F1220" s="620"/>
      <c r="G1220" s="620"/>
      <c r="H1220" s="620"/>
      <c r="I1220" s="620"/>
      <c r="J1220" s="620"/>
      <c r="K1220" s="570"/>
      <c r="O1220" s="1223"/>
      <c r="Q1220" s="1222"/>
    </row>
    <row r="1221" spans="2:17" x14ac:dyDescent="0.4">
      <c r="B1221" s="130"/>
      <c r="C1221" s="611">
        <v>824</v>
      </c>
      <c r="D1221" s="656" t="e">
        <f t="shared" ca="1" si="96"/>
        <v>#N/A</v>
      </c>
      <c r="E1221" s="620"/>
      <c r="F1221" s="620"/>
      <c r="G1221" s="620"/>
      <c r="H1221" s="620"/>
      <c r="I1221" s="620"/>
      <c r="J1221" s="620"/>
      <c r="K1221" s="570"/>
      <c r="O1221" s="1223"/>
      <c r="Q1221" s="1222"/>
    </row>
    <row r="1222" spans="2:17" x14ac:dyDescent="0.4">
      <c r="B1222" s="130"/>
      <c r="C1222" s="611">
        <v>825</v>
      </c>
      <c r="D1222" s="656" t="e">
        <f t="shared" ca="1" si="96"/>
        <v>#N/A</v>
      </c>
      <c r="E1222" s="620"/>
      <c r="F1222" s="620"/>
      <c r="G1222" s="620"/>
      <c r="H1222" s="620"/>
      <c r="I1222" s="620"/>
      <c r="J1222" s="620"/>
      <c r="K1222" s="570"/>
      <c r="O1222" s="1223"/>
      <c r="Q1222" s="1222"/>
    </row>
    <row r="1223" spans="2:17" x14ac:dyDescent="0.4">
      <c r="B1223" s="130"/>
      <c r="C1223" s="611">
        <v>826</v>
      </c>
      <c r="D1223" s="656" t="e">
        <f t="shared" ca="1" si="96"/>
        <v>#N/A</v>
      </c>
      <c r="E1223" s="620"/>
      <c r="F1223" s="620"/>
      <c r="G1223" s="620"/>
      <c r="H1223" s="620"/>
      <c r="I1223" s="620"/>
      <c r="J1223" s="620"/>
      <c r="K1223" s="570"/>
      <c r="O1223" s="1223"/>
      <c r="Q1223" s="1222"/>
    </row>
    <row r="1224" spans="2:17" x14ac:dyDescent="0.4">
      <c r="B1224" s="130"/>
      <c r="C1224" s="611">
        <v>827</v>
      </c>
      <c r="D1224" s="656" t="e">
        <f t="shared" ca="1" si="96"/>
        <v>#N/A</v>
      </c>
      <c r="E1224" s="620"/>
      <c r="F1224" s="620"/>
      <c r="G1224" s="620"/>
      <c r="H1224" s="620"/>
      <c r="I1224" s="620"/>
      <c r="J1224" s="620"/>
      <c r="K1224" s="570"/>
      <c r="O1224" s="1223"/>
      <c r="Q1224" s="1222"/>
    </row>
    <row r="1225" spans="2:17" x14ac:dyDescent="0.4">
      <c r="B1225" s="130"/>
      <c r="C1225" s="611">
        <v>828</v>
      </c>
      <c r="D1225" s="656" t="e">
        <f t="shared" ca="1" si="96"/>
        <v>#N/A</v>
      </c>
      <c r="E1225" s="620"/>
      <c r="F1225" s="620"/>
      <c r="G1225" s="620"/>
      <c r="H1225" s="620"/>
      <c r="I1225" s="620"/>
      <c r="J1225" s="620"/>
      <c r="K1225" s="570"/>
      <c r="O1225" s="1223"/>
      <c r="Q1225" s="1222"/>
    </row>
    <row r="1226" spans="2:17" x14ac:dyDescent="0.4">
      <c r="B1226" s="130"/>
      <c r="C1226" s="611">
        <v>829</v>
      </c>
      <c r="D1226" s="656" t="e">
        <f t="shared" ca="1" si="96"/>
        <v>#N/A</v>
      </c>
      <c r="E1226" s="620"/>
      <c r="F1226" s="620"/>
      <c r="G1226" s="620"/>
      <c r="H1226" s="620"/>
      <c r="I1226" s="620"/>
      <c r="J1226" s="620"/>
      <c r="K1226" s="570"/>
      <c r="O1226" s="1223"/>
      <c r="Q1226" s="1222"/>
    </row>
    <row r="1227" spans="2:17" x14ac:dyDescent="0.4">
      <c r="B1227" s="130"/>
      <c r="C1227" s="611">
        <v>830</v>
      </c>
      <c r="D1227" s="656" t="e">
        <f t="shared" ca="1" si="96"/>
        <v>#N/A</v>
      </c>
      <c r="E1227" s="620"/>
      <c r="F1227" s="620"/>
      <c r="G1227" s="620"/>
      <c r="H1227" s="620"/>
      <c r="I1227" s="620"/>
      <c r="J1227" s="620"/>
      <c r="K1227" s="570"/>
      <c r="O1227" s="1223"/>
      <c r="Q1227" s="1222"/>
    </row>
    <row r="1228" spans="2:17" x14ac:dyDescent="0.4">
      <c r="B1228" s="130"/>
      <c r="C1228" s="611">
        <v>831</v>
      </c>
      <c r="D1228" s="656" t="e">
        <f t="shared" ca="1" si="96"/>
        <v>#N/A</v>
      </c>
      <c r="E1228" s="620"/>
      <c r="F1228" s="620"/>
      <c r="G1228" s="620"/>
      <c r="H1228" s="620"/>
      <c r="I1228" s="620"/>
      <c r="J1228" s="620"/>
      <c r="K1228" s="570"/>
      <c r="O1228" s="1223"/>
      <c r="Q1228" s="1222"/>
    </row>
    <row r="1229" spans="2:17" x14ac:dyDescent="0.4">
      <c r="B1229" s="130"/>
      <c r="C1229" s="611">
        <v>832</v>
      </c>
      <c r="D1229" s="656" t="e">
        <f t="shared" ref="D1229:D1292" ca="1" si="97">$C$376*C1229</f>
        <v>#N/A</v>
      </c>
      <c r="E1229" s="620"/>
      <c r="F1229" s="620"/>
      <c r="G1229" s="620"/>
      <c r="H1229" s="620"/>
      <c r="I1229" s="620"/>
      <c r="J1229" s="620"/>
      <c r="K1229" s="570"/>
      <c r="O1229" s="1223"/>
      <c r="Q1229" s="1222"/>
    </row>
    <row r="1230" spans="2:17" x14ac:dyDescent="0.4">
      <c r="B1230" s="130"/>
      <c r="C1230" s="611">
        <v>833</v>
      </c>
      <c r="D1230" s="656" t="e">
        <f t="shared" ca="1" si="97"/>
        <v>#N/A</v>
      </c>
      <c r="E1230" s="620"/>
      <c r="F1230" s="620"/>
      <c r="G1230" s="620"/>
      <c r="H1230" s="620"/>
      <c r="I1230" s="620"/>
      <c r="J1230" s="620"/>
      <c r="K1230" s="570"/>
      <c r="O1230" s="1223"/>
      <c r="Q1230" s="1222"/>
    </row>
    <row r="1231" spans="2:17" x14ac:dyDescent="0.4">
      <c r="B1231" s="130"/>
      <c r="C1231" s="611">
        <v>834</v>
      </c>
      <c r="D1231" s="656" t="e">
        <f t="shared" ca="1" si="97"/>
        <v>#N/A</v>
      </c>
      <c r="E1231" s="620"/>
      <c r="F1231" s="620"/>
      <c r="G1231" s="620"/>
      <c r="H1231" s="620"/>
      <c r="I1231" s="620"/>
      <c r="J1231" s="620"/>
      <c r="K1231" s="570"/>
      <c r="O1231" s="1223"/>
      <c r="Q1231" s="1222"/>
    </row>
    <row r="1232" spans="2:17" x14ac:dyDescent="0.4">
      <c r="B1232" s="130"/>
      <c r="C1232" s="611">
        <v>835</v>
      </c>
      <c r="D1232" s="656" t="e">
        <f t="shared" ca="1" si="97"/>
        <v>#N/A</v>
      </c>
      <c r="E1232" s="620"/>
      <c r="F1232" s="620"/>
      <c r="G1232" s="620"/>
      <c r="H1232" s="620"/>
      <c r="I1232" s="620"/>
      <c r="J1232" s="620"/>
      <c r="K1232" s="570"/>
      <c r="O1232" s="1223"/>
      <c r="Q1232" s="1222"/>
    </row>
    <row r="1233" spans="2:17" x14ac:dyDescent="0.4">
      <c r="B1233" s="130"/>
      <c r="C1233" s="611">
        <v>836</v>
      </c>
      <c r="D1233" s="656" t="e">
        <f t="shared" ca="1" si="97"/>
        <v>#N/A</v>
      </c>
      <c r="E1233" s="620"/>
      <c r="F1233" s="620"/>
      <c r="G1233" s="620"/>
      <c r="H1233" s="620"/>
      <c r="I1233" s="620"/>
      <c r="J1233" s="620"/>
      <c r="K1233" s="570"/>
      <c r="O1233" s="1223"/>
      <c r="Q1233" s="1222"/>
    </row>
    <row r="1234" spans="2:17" x14ac:dyDescent="0.4">
      <c r="B1234" s="130"/>
      <c r="C1234" s="611">
        <v>837</v>
      </c>
      <c r="D1234" s="656" t="e">
        <f t="shared" ca="1" si="97"/>
        <v>#N/A</v>
      </c>
      <c r="E1234" s="620"/>
      <c r="F1234" s="620"/>
      <c r="G1234" s="620"/>
      <c r="H1234" s="620"/>
      <c r="I1234" s="620"/>
      <c r="J1234" s="620"/>
      <c r="K1234" s="570"/>
      <c r="O1234" s="1223"/>
      <c r="Q1234" s="1222"/>
    </row>
    <row r="1235" spans="2:17" x14ac:dyDescent="0.4">
      <c r="B1235" s="130"/>
      <c r="C1235" s="611">
        <v>838</v>
      </c>
      <c r="D1235" s="656" t="e">
        <f t="shared" ca="1" si="97"/>
        <v>#N/A</v>
      </c>
      <c r="E1235" s="620"/>
      <c r="F1235" s="620"/>
      <c r="G1235" s="620"/>
      <c r="H1235" s="620"/>
      <c r="I1235" s="620"/>
      <c r="J1235" s="620"/>
      <c r="K1235" s="570"/>
      <c r="O1235" s="1223"/>
      <c r="Q1235" s="1222"/>
    </row>
    <row r="1236" spans="2:17" x14ac:dyDescent="0.4">
      <c r="B1236" s="130"/>
      <c r="C1236" s="611">
        <v>839</v>
      </c>
      <c r="D1236" s="656" t="e">
        <f t="shared" ca="1" si="97"/>
        <v>#N/A</v>
      </c>
      <c r="E1236" s="620"/>
      <c r="F1236" s="620"/>
      <c r="G1236" s="620"/>
      <c r="H1236" s="620"/>
      <c r="I1236" s="620"/>
      <c r="J1236" s="620"/>
      <c r="K1236" s="570"/>
      <c r="O1236" s="1223"/>
      <c r="Q1236" s="1222"/>
    </row>
    <row r="1237" spans="2:17" x14ac:dyDescent="0.4">
      <c r="B1237" s="130"/>
      <c r="C1237" s="611">
        <v>840</v>
      </c>
      <c r="D1237" s="656" t="e">
        <f t="shared" ca="1" si="97"/>
        <v>#N/A</v>
      </c>
      <c r="E1237" s="620"/>
      <c r="F1237" s="620"/>
      <c r="G1237" s="620"/>
      <c r="H1237" s="620"/>
      <c r="I1237" s="620"/>
      <c r="J1237" s="620"/>
      <c r="K1237" s="570"/>
      <c r="O1237" s="1223"/>
      <c r="Q1237" s="1222"/>
    </row>
    <row r="1238" spans="2:17" x14ac:dyDescent="0.4">
      <c r="B1238" s="130"/>
      <c r="C1238" s="611">
        <v>841</v>
      </c>
      <c r="D1238" s="656" t="e">
        <f t="shared" ca="1" si="97"/>
        <v>#N/A</v>
      </c>
      <c r="E1238" s="620"/>
      <c r="F1238" s="620"/>
      <c r="G1238" s="620"/>
      <c r="H1238" s="620"/>
      <c r="I1238" s="620"/>
      <c r="J1238" s="620"/>
      <c r="K1238" s="570"/>
      <c r="O1238" s="1223"/>
      <c r="Q1238" s="1222"/>
    </row>
    <row r="1239" spans="2:17" x14ac:dyDescent="0.4">
      <c r="B1239" s="130"/>
      <c r="C1239" s="611">
        <v>842</v>
      </c>
      <c r="D1239" s="656" t="e">
        <f t="shared" ca="1" si="97"/>
        <v>#N/A</v>
      </c>
      <c r="E1239" s="620"/>
      <c r="F1239" s="620"/>
      <c r="G1239" s="620"/>
      <c r="H1239" s="620"/>
      <c r="I1239" s="620"/>
      <c r="J1239" s="620"/>
      <c r="K1239" s="570"/>
      <c r="O1239" s="1223"/>
      <c r="Q1239" s="1222"/>
    </row>
    <row r="1240" spans="2:17" x14ac:dyDescent="0.4">
      <c r="B1240" s="130"/>
      <c r="C1240" s="611">
        <v>843</v>
      </c>
      <c r="D1240" s="656" t="e">
        <f t="shared" ca="1" si="97"/>
        <v>#N/A</v>
      </c>
      <c r="E1240" s="620"/>
      <c r="F1240" s="620"/>
      <c r="G1240" s="620"/>
      <c r="H1240" s="620"/>
      <c r="I1240" s="620"/>
      <c r="J1240" s="620"/>
      <c r="K1240" s="570"/>
      <c r="O1240" s="1223"/>
      <c r="Q1240" s="1222"/>
    </row>
    <row r="1241" spans="2:17" x14ac:dyDescent="0.4">
      <c r="B1241" s="130"/>
      <c r="C1241" s="611">
        <v>844</v>
      </c>
      <c r="D1241" s="656" t="e">
        <f t="shared" ca="1" si="97"/>
        <v>#N/A</v>
      </c>
      <c r="E1241" s="620"/>
      <c r="F1241" s="620"/>
      <c r="G1241" s="620"/>
      <c r="H1241" s="620"/>
      <c r="I1241" s="620"/>
      <c r="J1241" s="620"/>
      <c r="K1241" s="570"/>
      <c r="O1241" s="1223"/>
      <c r="Q1241" s="1222"/>
    </row>
    <row r="1242" spans="2:17" x14ac:dyDescent="0.4">
      <c r="B1242" s="130"/>
      <c r="C1242" s="611">
        <v>845</v>
      </c>
      <c r="D1242" s="656" t="e">
        <f t="shared" ca="1" si="97"/>
        <v>#N/A</v>
      </c>
      <c r="E1242" s="620"/>
      <c r="F1242" s="620"/>
      <c r="G1242" s="620"/>
      <c r="H1242" s="620"/>
      <c r="I1242" s="620"/>
      <c r="J1242" s="620"/>
      <c r="K1242" s="570"/>
      <c r="O1242" s="1223"/>
      <c r="Q1242" s="1222"/>
    </row>
    <row r="1243" spans="2:17" x14ac:dyDescent="0.4">
      <c r="B1243" s="130"/>
      <c r="C1243" s="611">
        <v>846</v>
      </c>
      <c r="D1243" s="656" t="e">
        <f t="shared" ca="1" si="97"/>
        <v>#N/A</v>
      </c>
      <c r="E1243" s="620"/>
      <c r="F1243" s="620"/>
      <c r="G1243" s="620"/>
      <c r="H1243" s="620"/>
      <c r="I1243" s="620"/>
      <c r="J1243" s="620"/>
      <c r="K1243" s="570"/>
      <c r="O1243" s="1223"/>
      <c r="Q1243" s="1222"/>
    </row>
    <row r="1244" spans="2:17" x14ac:dyDescent="0.4">
      <c r="B1244" s="130"/>
      <c r="C1244" s="611">
        <v>847</v>
      </c>
      <c r="D1244" s="656" t="e">
        <f t="shared" ca="1" si="97"/>
        <v>#N/A</v>
      </c>
      <c r="E1244" s="620"/>
      <c r="F1244" s="620"/>
      <c r="G1244" s="620"/>
      <c r="H1244" s="620"/>
      <c r="I1244" s="620"/>
      <c r="J1244" s="620"/>
      <c r="K1244" s="570"/>
      <c r="O1244" s="1223"/>
      <c r="Q1244" s="1222"/>
    </row>
    <row r="1245" spans="2:17" x14ac:dyDescent="0.4">
      <c r="B1245" s="130"/>
      <c r="C1245" s="611">
        <v>848</v>
      </c>
      <c r="D1245" s="656" t="e">
        <f t="shared" ca="1" si="97"/>
        <v>#N/A</v>
      </c>
      <c r="E1245" s="620"/>
      <c r="F1245" s="620"/>
      <c r="G1245" s="620"/>
      <c r="H1245" s="620"/>
      <c r="I1245" s="620"/>
      <c r="J1245" s="620"/>
      <c r="K1245" s="570"/>
      <c r="O1245" s="1223"/>
      <c r="Q1245" s="1222"/>
    </row>
    <row r="1246" spans="2:17" x14ac:dyDescent="0.4">
      <c r="B1246" s="130"/>
      <c r="C1246" s="611">
        <v>849</v>
      </c>
      <c r="D1246" s="656" t="e">
        <f t="shared" ca="1" si="97"/>
        <v>#N/A</v>
      </c>
      <c r="E1246" s="620"/>
      <c r="F1246" s="620"/>
      <c r="G1246" s="620"/>
      <c r="H1246" s="620"/>
      <c r="I1246" s="620"/>
      <c r="J1246" s="620"/>
      <c r="K1246" s="570"/>
      <c r="O1246" s="1223"/>
      <c r="Q1246" s="1222"/>
    </row>
    <row r="1247" spans="2:17" x14ac:dyDescent="0.4">
      <c r="B1247" s="130"/>
      <c r="C1247" s="611">
        <v>850</v>
      </c>
      <c r="D1247" s="656" t="e">
        <f t="shared" ca="1" si="97"/>
        <v>#N/A</v>
      </c>
      <c r="E1247" s="620"/>
      <c r="F1247" s="620"/>
      <c r="G1247" s="620"/>
      <c r="H1247" s="620"/>
      <c r="I1247" s="620"/>
      <c r="J1247" s="620"/>
      <c r="K1247" s="570"/>
      <c r="O1247" s="1223"/>
      <c r="Q1247" s="1222"/>
    </row>
    <row r="1248" spans="2:17" x14ac:dyDescent="0.4">
      <c r="B1248" s="130"/>
      <c r="C1248" s="611">
        <v>851</v>
      </c>
      <c r="D1248" s="656" t="e">
        <f t="shared" ca="1" si="97"/>
        <v>#N/A</v>
      </c>
      <c r="E1248" s="620"/>
      <c r="F1248" s="620"/>
      <c r="G1248" s="620"/>
      <c r="H1248" s="620"/>
      <c r="I1248" s="620"/>
      <c r="J1248" s="620"/>
      <c r="K1248" s="570"/>
      <c r="O1248" s="1223"/>
      <c r="Q1248" s="1222"/>
    </row>
    <row r="1249" spans="2:17" x14ac:dyDescent="0.4">
      <c r="B1249" s="130"/>
      <c r="C1249" s="611">
        <v>852</v>
      </c>
      <c r="D1249" s="656" t="e">
        <f t="shared" ca="1" si="97"/>
        <v>#N/A</v>
      </c>
      <c r="E1249" s="620"/>
      <c r="F1249" s="620"/>
      <c r="G1249" s="620"/>
      <c r="H1249" s="620"/>
      <c r="I1249" s="620"/>
      <c r="J1249" s="620"/>
      <c r="K1249" s="570"/>
      <c r="O1249" s="1223"/>
      <c r="Q1249" s="1222"/>
    </row>
    <row r="1250" spans="2:17" x14ac:dyDescent="0.4">
      <c r="B1250" s="130"/>
      <c r="C1250" s="611">
        <v>853</v>
      </c>
      <c r="D1250" s="656" t="e">
        <f t="shared" ca="1" si="97"/>
        <v>#N/A</v>
      </c>
      <c r="E1250" s="620"/>
      <c r="F1250" s="620"/>
      <c r="G1250" s="620"/>
      <c r="H1250" s="620"/>
      <c r="I1250" s="620"/>
      <c r="J1250" s="620"/>
      <c r="K1250" s="570"/>
      <c r="O1250" s="1223"/>
      <c r="Q1250" s="1222"/>
    </row>
    <row r="1251" spans="2:17" x14ac:dyDescent="0.4">
      <c r="B1251" s="130"/>
      <c r="C1251" s="611">
        <v>854</v>
      </c>
      <c r="D1251" s="656" t="e">
        <f t="shared" ca="1" si="97"/>
        <v>#N/A</v>
      </c>
      <c r="E1251" s="620"/>
      <c r="F1251" s="620"/>
      <c r="G1251" s="620"/>
      <c r="H1251" s="620"/>
      <c r="I1251" s="620"/>
      <c r="J1251" s="620"/>
      <c r="K1251" s="570"/>
      <c r="O1251" s="1223"/>
      <c r="Q1251" s="1222"/>
    </row>
    <row r="1252" spans="2:17" x14ac:dyDescent="0.4">
      <c r="B1252" s="130"/>
      <c r="C1252" s="611">
        <v>855</v>
      </c>
      <c r="D1252" s="656" t="e">
        <f t="shared" ca="1" si="97"/>
        <v>#N/A</v>
      </c>
      <c r="E1252" s="620"/>
      <c r="F1252" s="620"/>
      <c r="G1252" s="620"/>
      <c r="H1252" s="620"/>
      <c r="I1252" s="620"/>
      <c r="J1252" s="620"/>
      <c r="K1252" s="570"/>
      <c r="O1252" s="1223"/>
      <c r="Q1252" s="1222"/>
    </row>
    <row r="1253" spans="2:17" x14ac:dyDescent="0.4">
      <c r="B1253" s="130"/>
      <c r="C1253" s="611">
        <v>856</v>
      </c>
      <c r="D1253" s="656" t="e">
        <f t="shared" ca="1" si="97"/>
        <v>#N/A</v>
      </c>
      <c r="E1253" s="620"/>
      <c r="F1253" s="620"/>
      <c r="G1253" s="620"/>
      <c r="H1253" s="620"/>
      <c r="I1253" s="620"/>
      <c r="J1253" s="620"/>
      <c r="K1253" s="570"/>
      <c r="O1253" s="1223"/>
      <c r="Q1253" s="1222"/>
    </row>
    <row r="1254" spans="2:17" x14ac:dyDescent="0.4">
      <c r="B1254" s="130"/>
      <c r="C1254" s="611">
        <v>857</v>
      </c>
      <c r="D1254" s="656" t="e">
        <f t="shared" ca="1" si="97"/>
        <v>#N/A</v>
      </c>
      <c r="E1254" s="620"/>
      <c r="F1254" s="620"/>
      <c r="G1254" s="620"/>
      <c r="H1254" s="620"/>
      <c r="I1254" s="620"/>
      <c r="J1254" s="620"/>
      <c r="K1254" s="570"/>
      <c r="O1254" s="1223"/>
      <c r="Q1254" s="1222"/>
    </row>
    <row r="1255" spans="2:17" x14ac:dyDescent="0.4">
      <c r="B1255" s="130"/>
      <c r="C1255" s="611">
        <v>858</v>
      </c>
      <c r="D1255" s="656" t="e">
        <f t="shared" ca="1" si="97"/>
        <v>#N/A</v>
      </c>
      <c r="E1255" s="620"/>
      <c r="F1255" s="620"/>
      <c r="G1255" s="620"/>
      <c r="H1255" s="620"/>
      <c r="I1255" s="620"/>
      <c r="J1255" s="620"/>
      <c r="K1255" s="570"/>
      <c r="O1255" s="1223"/>
      <c r="Q1255" s="1222"/>
    </row>
    <row r="1256" spans="2:17" x14ac:dyDescent="0.4">
      <c r="B1256" s="130"/>
      <c r="C1256" s="611">
        <v>859</v>
      </c>
      <c r="D1256" s="656" t="e">
        <f t="shared" ca="1" si="97"/>
        <v>#N/A</v>
      </c>
      <c r="E1256" s="620"/>
      <c r="F1256" s="620"/>
      <c r="G1256" s="620"/>
      <c r="H1256" s="620"/>
      <c r="I1256" s="620"/>
      <c r="J1256" s="620"/>
      <c r="K1256" s="570"/>
      <c r="O1256" s="1223"/>
      <c r="Q1256" s="1222"/>
    </row>
    <row r="1257" spans="2:17" x14ac:dyDescent="0.4">
      <c r="B1257" s="130"/>
      <c r="C1257" s="611">
        <v>860</v>
      </c>
      <c r="D1257" s="656" t="e">
        <f t="shared" ca="1" si="97"/>
        <v>#N/A</v>
      </c>
      <c r="E1257" s="620"/>
      <c r="F1257" s="620"/>
      <c r="G1257" s="620"/>
      <c r="H1257" s="620"/>
      <c r="I1257" s="620"/>
      <c r="J1257" s="620"/>
      <c r="K1257" s="570"/>
      <c r="O1257" s="1223"/>
      <c r="Q1257" s="1222"/>
    </row>
    <row r="1258" spans="2:17" x14ac:dyDescent="0.4">
      <c r="B1258" s="130"/>
      <c r="C1258" s="611">
        <v>861</v>
      </c>
      <c r="D1258" s="656" t="e">
        <f t="shared" ca="1" si="97"/>
        <v>#N/A</v>
      </c>
      <c r="E1258" s="620"/>
      <c r="F1258" s="620"/>
      <c r="G1258" s="620"/>
      <c r="H1258" s="620"/>
      <c r="I1258" s="620"/>
      <c r="J1258" s="620"/>
      <c r="K1258" s="570"/>
      <c r="O1258" s="1223"/>
      <c r="Q1258" s="1222"/>
    </row>
    <row r="1259" spans="2:17" x14ac:dyDescent="0.4">
      <c r="B1259" s="130"/>
      <c r="C1259" s="611">
        <v>862</v>
      </c>
      <c r="D1259" s="656" t="e">
        <f t="shared" ca="1" si="97"/>
        <v>#N/A</v>
      </c>
      <c r="E1259" s="620"/>
      <c r="F1259" s="620"/>
      <c r="G1259" s="620"/>
      <c r="H1259" s="620"/>
      <c r="I1259" s="620"/>
      <c r="J1259" s="620"/>
      <c r="K1259" s="570"/>
      <c r="O1259" s="1223"/>
      <c r="Q1259" s="1222"/>
    </row>
    <row r="1260" spans="2:17" x14ac:dyDescent="0.4">
      <c r="B1260" s="130"/>
      <c r="C1260" s="611">
        <v>863</v>
      </c>
      <c r="D1260" s="656" t="e">
        <f t="shared" ca="1" si="97"/>
        <v>#N/A</v>
      </c>
      <c r="E1260" s="620"/>
      <c r="F1260" s="620"/>
      <c r="G1260" s="620"/>
      <c r="H1260" s="620"/>
      <c r="I1260" s="620"/>
      <c r="J1260" s="620"/>
      <c r="K1260" s="570"/>
      <c r="O1260" s="1223"/>
      <c r="Q1260" s="1222"/>
    </row>
    <row r="1261" spans="2:17" x14ac:dyDescent="0.4">
      <c r="B1261" s="130"/>
      <c r="C1261" s="611">
        <v>864</v>
      </c>
      <c r="D1261" s="656" t="e">
        <f t="shared" ca="1" si="97"/>
        <v>#N/A</v>
      </c>
      <c r="E1261" s="620"/>
      <c r="F1261" s="620"/>
      <c r="G1261" s="620"/>
      <c r="H1261" s="620"/>
      <c r="I1261" s="620"/>
      <c r="J1261" s="620"/>
      <c r="K1261" s="570"/>
      <c r="O1261" s="1223"/>
      <c r="Q1261" s="1222"/>
    </row>
    <row r="1262" spans="2:17" x14ac:dyDescent="0.4">
      <c r="B1262" s="130"/>
      <c r="C1262" s="611">
        <v>865</v>
      </c>
      <c r="D1262" s="656" t="e">
        <f t="shared" ca="1" si="97"/>
        <v>#N/A</v>
      </c>
      <c r="E1262" s="620"/>
      <c r="F1262" s="620"/>
      <c r="G1262" s="620"/>
      <c r="H1262" s="620"/>
      <c r="I1262" s="620"/>
      <c r="J1262" s="620"/>
      <c r="K1262" s="570"/>
      <c r="O1262" s="1223"/>
      <c r="Q1262" s="1222"/>
    </row>
    <row r="1263" spans="2:17" x14ac:dyDescent="0.4">
      <c r="B1263" s="130"/>
      <c r="C1263" s="611">
        <v>866</v>
      </c>
      <c r="D1263" s="656" t="e">
        <f t="shared" ca="1" si="97"/>
        <v>#N/A</v>
      </c>
      <c r="E1263" s="620"/>
      <c r="F1263" s="620"/>
      <c r="G1263" s="620"/>
      <c r="H1263" s="620"/>
      <c r="I1263" s="620"/>
      <c r="J1263" s="620"/>
      <c r="K1263" s="570"/>
      <c r="O1263" s="1223"/>
      <c r="Q1263" s="1222"/>
    </row>
    <row r="1264" spans="2:17" x14ac:dyDescent="0.4">
      <c r="B1264" s="130"/>
      <c r="C1264" s="611">
        <v>867</v>
      </c>
      <c r="D1264" s="656" t="e">
        <f t="shared" ca="1" si="97"/>
        <v>#N/A</v>
      </c>
      <c r="E1264" s="620"/>
      <c r="F1264" s="620"/>
      <c r="G1264" s="620"/>
      <c r="H1264" s="620"/>
      <c r="I1264" s="620"/>
      <c r="J1264" s="620"/>
      <c r="K1264" s="570"/>
      <c r="O1264" s="1223"/>
      <c r="Q1264" s="1222"/>
    </row>
    <row r="1265" spans="2:17" x14ac:dyDescent="0.4">
      <c r="B1265" s="130"/>
      <c r="C1265" s="611">
        <v>868</v>
      </c>
      <c r="D1265" s="656" t="e">
        <f t="shared" ca="1" si="97"/>
        <v>#N/A</v>
      </c>
      <c r="E1265" s="620"/>
      <c r="F1265" s="620"/>
      <c r="G1265" s="620"/>
      <c r="H1265" s="620"/>
      <c r="I1265" s="620"/>
      <c r="J1265" s="620"/>
      <c r="K1265" s="570"/>
      <c r="O1265" s="1223"/>
      <c r="Q1265" s="1222"/>
    </row>
    <row r="1266" spans="2:17" x14ac:dyDescent="0.4">
      <c r="B1266" s="130"/>
      <c r="C1266" s="611">
        <v>869</v>
      </c>
      <c r="D1266" s="656" t="e">
        <f t="shared" ca="1" si="97"/>
        <v>#N/A</v>
      </c>
      <c r="E1266" s="620"/>
      <c r="F1266" s="620"/>
      <c r="G1266" s="620"/>
      <c r="H1266" s="620"/>
      <c r="I1266" s="620"/>
      <c r="J1266" s="620"/>
      <c r="K1266" s="570"/>
      <c r="O1266" s="1223"/>
      <c r="Q1266" s="1222"/>
    </row>
    <row r="1267" spans="2:17" x14ac:dyDescent="0.4">
      <c r="B1267" s="130"/>
      <c r="C1267" s="611">
        <v>870</v>
      </c>
      <c r="D1267" s="656" t="e">
        <f t="shared" ca="1" si="97"/>
        <v>#N/A</v>
      </c>
      <c r="E1267" s="620"/>
      <c r="F1267" s="620"/>
      <c r="G1267" s="620"/>
      <c r="H1267" s="620"/>
      <c r="I1267" s="620"/>
      <c r="J1267" s="620"/>
      <c r="K1267" s="570"/>
      <c r="O1267" s="1223"/>
      <c r="Q1267" s="1222"/>
    </row>
    <row r="1268" spans="2:17" x14ac:dyDescent="0.4">
      <c r="B1268" s="130"/>
      <c r="C1268" s="611">
        <v>871</v>
      </c>
      <c r="D1268" s="656" t="e">
        <f t="shared" ca="1" si="97"/>
        <v>#N/A</v>
      </c>
      <c r="E1268" s="620"/>
      <c r="F1268" s="620"/>
      <c r="G1268" s="620"/>
      <c r="H1268" s="620"/>
      <c r="I1268" s="620"/>
      <c r="J1268" s="620"/>
      <c r="K1268" s="570"/>
      <c r="O1268" s="1223"/>
      <c r="Q1268" s="1222"/>
    </row>
    <row r="1269" spans="2:17" x14ac:dyDescent="0.4">
      <c r="B1269" s="130"/>
      <c r="C1269" s="611">
        <v>872</v>
      </c>
      <c r="D1269" s="656" t="e">
        <f t="shared" ca="1" si="97"/>
        <v>#N/A</v>
      </c>
      <c r="E1269" s="620"/>
      <c r="F1269" s="620"/>
      <c r="G1269" s="620"/>
      <c r="H1269" s="620"/>
      <c r="I1269" s="620"/>
      <c r="J1269" s="620"/>
      <c r="K1269" s="570"/>
      <c r="O1269" s="1223"/>
      <c r="Q1269" s="1222"/>
    </row>
    <row r="1270" spans="2:17" x14ac:dyDescent="0.4">
      <c r="B1270" s="130"/>
      <c r="C1270" s="611">
        <v>873</v>
      </c>
      <c r="D1270" s="656" t="e">
        <f t="shared" ca="1" si="97"/>
        <v>#N/A</v>
      </c>
      <c r="E1270" s="620"/>
      <c r="F1270" s="620"/>
      <c r="G1270" s="620"/>
      <c r="H1270" s="620"/>
      <c r="I1270" s="620"/>
      <c r="J1270" s="620"/>
      <c r="K1270" s="570"/>
      <c r="O1270" s="1223"/>
      <c r="Q1270" s="1222"/>
    </row>
    <row r="1271" spans="2:17" x14ac:dyDescent="0.4">
      <c r="B1271" s="130"/>
      <c r="C1271" s="611">
        <v>874</v>
      </c>
      <c r="D1271" s="656" t="e">
        <f t="shared" ca="1" si="97"/>
        <v>#N/A</v>
      </c>
      <c r="E1271" s="620"/>
      <c r="F1271" s="620"/>
      <c r="G1271" s="620"/>
      <c r="H1271" s="620"/>
      <c r="I1271" s="620"/>
      <c r="J1271" s="620"/>
      <c r="K1271" s="570"/>
      <c r="O1271" s="1223"/>
      <c r="Q1271" s="1222"/>
    </row>
    <row r="1272" spans="2:17" x14ac:dyDescent="0.4">
      <c r="B1272" s="130"/>
      <c r="C1272" s="611">
        <v>875</v>
      </c>
      <c r="D1272" s="656" t="e">
        <f t="shared" ca="1" si="97"/>
        <v>#N/A</v>
      </c>
      <c r="E1272" s="620"/>
      <c r="F1272" s="620"/>
      <c r="G1272" s="620"/>
      <c r="H1272" s="620"/>
      <c r="I1272" s="620"/>
      <c r="J1272" s="620"/>
      <c r="K1272" s="570"/>
      <c r="O1272" s="1223"/>
      <c r="Q1272" s="1222"/>
    </row>
    <row r="1273" spans="2:17" x14ac:dyDescent="0.4">
      <c r="B1273" s="130"/>
      <c r="C1273" s="611">
        <v>876</v>
      </c>
      <c r="D1273" s="656" t="e">
        <f t="shared" ca="1" si="97"/>
        <v>#N/A</v>
      </c>
      <c r="E1273" s="620"/>
      <c r="F1273" s="620"/>
      <c r="G1273" s="620"/>
      <c r="H1273" s="620"/>
      <c r="I1273" s="620"/>
      <c r="J1273" s="620"/>
      <c r="K1273" s="570"/>
      <c r="O1273" s="1223"/>
      <c r="Q1273" s="1222"/>
    </row>
    <row r="1274" spans="2:17" x14ac:dyDescent="0.4">
      <c r="B1274" s="130"/>
      <c r="C1274" s="611">
        <v>877</v>
      </c>
      <c r="D1274" s="656" t="e">
        <f t="shared" ca="1" si="97"/>
        <v>#N/A</v>
      </c>
      <c r="E1274" s="620"/>
      <c r="F1274" s="620"/>
      <c r="G1274" s="620"/>
      <c r="H1274" s="620"/>
      <c r="I1274" s="620"/>
      <c r="J1274" s="620"/>
      <c r="K1274" s="570"/>
      <c r="O1274" s="1223"/>
      <c r="Q1274" s="1222"/>
    </row>
    <row r="1275" spans="2:17" x14ac:dyDescent="0.4">
      <c r="B1275" s="130"/>
      <c r="C1275" s="611">
        <v>878</v>
      </c>
      <c r="D1275" s="656" t="e">
        <f t="shared" ca="1" si="97"/>
        <v>#N/A</v>
      </c>
      <c r="E1275" s="620"/>
      <c r="F1275" s="620"/>
      <c r="G1275" s="620"/>
      <c r="H1275" s="620"/>
      <c r="I1275" s="620"/>
      <c r="J1275" s="620"/>
      <c r="K1275" s="570"/>
      <c r="O1275" s="1223"/>
      <c r="Q1275" s="1222"/>
    </row>
    <row r="1276" spans="2:17" x14ac:dyDescent="0.4">
      <c r="B1276" s="130"/>
      <c r="C1276" s="611">
        <v>879</v>
      </c>
      <c r="D1276" s="656" t="e">
        <f t="shared" ca="1" si="97"/>
        <v>#N/A</v>
      </c>
      <c r="E1276" s="620"/>
      <c r="F1276" s="620"/>
      <c r="G1276" s="620"/>
      <c r="H1276" s="620"/>
      <c r="I1276" s="620"/>
      <c r="J1276" s="620"/>
      <c r="K1276" s="570"/>
      <c r="O1276" s="1223"/>
      <c r="Q1276" s="1222"/>
    </row>
    <row r="1277" spans="2:17" x14ac:dyDescent="0.4">
      <c r="B1277" s="130"/>
      <c r="C1277" s="611">
        <v>880</v>
      </c>
      <c r="D1277" s="656" t="e">
        <f t="shared" ca="1" si="97"/>
        <v>#N/A</v>
      </c>
      <c r="E1277" s="620"/>
      <c r="F1277" s="620"/>
      <c r="G1277" s="620"/>
      <c r="H1277" s="620"/>
      <c r="I1277" s="620"/>
      <c r="J1277" s="620"/>
      <c r="K1277" s="570"/>
      <c r="O1277" s="1223"/>
      <c r="Q1277" s="1222"/>
    </row>
    <row r="1278" spans="2:17" x14ac:dyDescent="0.4">
      <c r="B1278" s="130"/>
      <c r="C1278" s="611">
        <v>881</v>
      </c>
      <c r="D1278" s="656" t="e">
        <f t="shared" ca="1" si="97"/>
        <v>#N/A</v>
      </c>
      <c r="E1278" s="620"/>
      <c r="F1278" s="620"/>
      <c r="G1278" s="620"/>
      <c r="H1278" s="620"/>
      <c r="I1278" s="620"/>
      <c r="J1278" s="620"/>
      <c r="K1278" s="570"/>
      <c r="O1278" s="1223"/>
      <c r="Q1278" s="1222"/>
    </row>
    <row r="1279" spans="2:17" x14ac:dyDescent="0.4">
      <c r="B1279" s="130"/>
      <c r="C1279" s="611">
        <v>882</v>
      </c>
      <c r="D1279" s="656" t="e">
        <f t="shared" ca="1" si="97"/>
        <v>#N/A</v>
      </c>
      <c r="E1279" s="620"/>
      <c r="F1279" s="620"/>
      <c r="G1279" s="620"/>
      <c r="H1279" s="620"/>
      <c r="I1279" s="620"/>
      <c r="J1279" s="620"/>
      <c r="K1279" s="570"/>
      <c r="O1279" s="1223"/>
      <c r="Q1279" s="1222"/>
    </row>
    <row r="1280" spans="2:17" x14ac:dyDescent="0.4">
      <c r="B1280" s="130"/>
      <c r="C1280" s="611">
        <v>883</v>
      </c>
      <c r="D1280" s="656" t="e">
        <f t="shared" ca="1" si="97"/>
        <v>#N/A</v>
      </c>
      <c r="E1280" s="620"/>
      <c r="F1280" s="620"/>
      <c r="G1280" s="620"/>
      <c r="H1280" s="620"/>
      <c r="I1280" s="620"/>
      <c r="J1280" s="620"/>
      <c r="K1280" s="570"/>
      <c r="O1280" s="1223"/>
      <c r="Q1280" s="1222"/>
    </row>
    <row r="1281" spans="2:17" x14ac:dyDescent="0.4">
      <c r="B1281" s="130"/>
      <c r="C1281" s="611">
        <v>884</v>
      </c>
      <c r="D1281" s="656" t="e">
        <f t="shared" ca="1" si="97"/>
        <v>#N/A</v>
      </c>
      <c r="E1281" s="620"/>
      <c r="F1281" s="620"/>
      <c r="G1281" s="620"/>
      <c r="H1281" s="620"/>
      <c r="I1281" s="620"/>
      <c r="J1281" s="620"/>
      <c r="K1281" s="570"/>
      <c r="O1281" s="1223"/>
      <c r="Q1281" s="1222"/>
    </row>
    <row r="1282" spans="2:17" x14ac:dyDescent="0.4">
      <c r="B1282" s="130"/>
      <c r="C1282" s="611">
        <v>885</v>
      </c>
      <c r="D1282" s="656" t="e">
        <f t="shared" ca="1" si="97"/>
        <v>#N/A</v>
      </c>
      <c r="E1282" s="620"/>
      <c r="F1282" s="620"/>
      <c r="G1282" s="620"/>
      <c r="H1282" s="620"/>
      <c r="I1282" s="620"/>
      <c r="J1282" s="620"/>
      <c r="K1282" s="570"/>
      <c r="O1282" s="1223"/>
      <c r="Q1282" s="1222"/>
    </row>
    <row r="1283" spans="2:17" x14ac:dyDescent="0.4">
      <c r="B1283" s="130"/>
      <c r="C1283" s="611">
        <v>886</v>
      </c>
      <c r="D1283" s="656" t="e">
        <f t="shared" ca="1" si="97"/>
        <v>#N/A</v>
      </c>
      <c r="E1283" s="620"/>
      <c r="F1283" s="620"/>
      <c r="G1283" s="620"/>
      <c r="H1283" s="620"/>
      <c r="I1283" s="620"/>
      <c r="J1283" s="620"/>
      <c r="K1283" s="570"/>
      <c r="O1283" s="1223"/>
      <c r="Q1283" s="1222"/>
    </row>
    <row r="1284" spans="2:17" x14ac:dyDescent="0.4">
      <c r="B1284" s="130"/>
      <c r="C1284" s="611">
        <v>887</v>
      </c>
      <c r="D1284" s="656" t="e">
        <f t="shared" ca="1" si="97"/>
        <v>#N/A</v>
      </c>
      <c r="E1284" s="620"/>
      <c r="F1284" s="620"/>
      <c r="G1284" s="620"/>
      <c r="H1284" s="620"/>
      <c r="I1284" s="620"/>
      <c r="J1284" s="620"/>
      <c r="K1284" s="570"/>
      <c r="O1284" s="1223"/>
      <c r="Q1284" s="1222"/>
    </row>
    <row r="1285" spans="2:17" x14ac:dyDescent="0.4">
      <c r="B1285" s="130"/>
      <c r="C1285" s="611">
        <v>888</v>
      </c>
      <c r="D1285" s="656" t="e">
        <f t="shared" ca="1" si="97"/>
        <v>#N/A</v>
      </c>
      <c r="E1285" s="620"/>
      <c r="F1285" s="620"/>
      <c r="G1285" s="620"/>
      <c r="H1285" s="620"/>
      <c r="I1285" s="620"/>
      <c r="J1285" s="620"/>
      <c r="K1285" s="570"/>
      <c r="O1285" s="1223"/>
      <c r="Q1285" s="1222"/>
    </row>
    <row r="1286" spans="2:17" x14ac:dyDescent="0.4">
      <c r="B1286" s="130"/>
      <c r="C1286" s="611">
        <v>889</v>
      </c>
      <c r="D1286" s="656" t="e">
        <f t="shared" ca="1" si="97"/>
        <v>#N/A</v>
      </c>
      <c r="E1286" s="620"/>
      <c r="F1286" s="620"/>
      <c r="G1286" s="620"/>
      <c r="H1286" s="620"/>
      <c r="I1286" s="620"/>
      <c r="J1286" s="620"/>
      <c r="K1286" s="570"/>
      <c r="O1286" s="1223"/>
      <c r="Q1286" s="1222"/>
    </row>
    <row r="1287" spans="2:17" x14ac:dyDescent="0.4">
      <c r="B1287" s="130"/>
      <c r="C1287" s="611">
        <v>890</v>
      </c>
      <c r="D1287" s="656" t="e">
        <f t="shared" ca="1" si="97"/>
        <v>#N/A</v>
      </c>
      <c r="E1287" s="620"/>
      <c r="F1287" s="620"/>
      <c r="G1287" s="620"/>
      <c r="H1287" s="620"/>
      <c r="I1287" s="620"/>
      <c r="J1287" s="620"/>
      <c r="K1287" s="570"/>
      <c r="O1287" s="1223"/>
      <c r="Q1287" s="1222"/>
    </row>
    <row r="1288" spans="2:17" x14ac:dyDescent="0.4">
      <c r="B1288" s="130"/>
      <c r="C1288" s="611">
        <v>891</v>
      </c>
      <c r="D1288" s="656" t="e">
        <f t="shared" ca="1" si="97"/>
        <v>#N/A</v>
      </c>
      <c r="E1288" s="620"/>
      <c r="F1288" s="620"/>
      <c r="G1288" s="620"/>
      <c r="H1288" s="620"/>
      <c r="I1288" s="620"/>
      <c r="J1288" s="620"/>
      <c r="K1288" s="570"/>
      <c r="O1288" s="1223"/>
      <c r="Q1288" s="1222"/>
    </row>
    <row r="1289" spans="2:17" x14ac:dyDescent="0.4">
      <c r="B1289" s="130"/>
      <c r="C1289" s="611">
        <v>892</v>
      </c>
      <c r="D1289" s="656" t="e">
        <f t="shared" ca="1" si="97"/>
        <v>#N/A</v>
      </c>
      <c r="E1289" s="620"/>
      <c r="F1289" s="620"/>
      <c r="G1289" s="620"/>
      <c r="H1289" s="620"/>
      <c r="I1289" s="620"/>
      <c r="J1289" s="620"/>
      <c r="K1289" s="570"/>
      <c r="O1289" s="1223"/>
      <c r="Q1289" s="1222"/>
    </row>
    <row r="1290" spans="2:17" x14ac:dyDescent="0.4">
      <c r="B1290" s="130"/>
      <c r="C1290" s="611">
        <v>893</v>
      </c>
      <c r="D1290" s="656" t="e">
        <f t="shared" ca="1" si="97"/>
        <v>#N/A</v>
      </c>
      <c r="E1290" s="620"/>
      <c r="F1290" s="620"/>
      <c r="G1290" s="620"/>
      <c r="H1290" s="620"/>
      <c r="I1290" s="620"/>
      <c r="J1290" s="620"/>
      <c r="K1290" s="570"/>
      <c r="O1290" s="1223"/>
      <c r="Q1290" s="1222"/>
    </row>
    <row r="1291" spans="2:17" x14ac:dyDescent="0.4">
      <c r="B1291" s="130"/>
      <c r="C1291" s="611">
        <v>894</v>
      </c>
      <c r="D1291" s="656" t="e">
        <f t="shared" ca="1" si="97"/>
        <v>#N/A</v>
      </c>
      <c r="E1291" s="620"/>
      <c r="F1291" s="620"/>
      <c r="G1291" s="620"/>
      <c r="H1291" s="620"/>
      <c r="I1291" s="620"/>
      <c r="J1291" s="620"/>
      <c r="K1291" s="570"/>
      <c r="O1291" s="1223"/>
      <c r="Q1291" s="1222"/>
    </row>
    <row r="1292" spans="2:17" x14ac:dyDescent="0.4">
      <c r="B1292" s="130"/>
      <c r="C1292" s="611">
        <v>895</v>
      </c>
      <c r="D1292" s="656" t="e">
        <f t="shared" ca="1" si="97"/>
        <v>#N/A</v>
      </c>
      <c r="E1292" s="620"/>
      <c r="F1292" s="620"/>
      <c r="G1292" s="620"/>
      <c r="H1292" s="620"/>
      <c r="I1292" s="620"/>
      <c r="J1292" s="620"/>
      <c r="K1292" s="570"/>
      <c r="O1292" s="1223"/>
      <c r="Q1292" s="1222"/>
    </row>
    <row r="1293" spans="2:17" x14ac:dyDescent="0.4">
      <c r="B1293" s="130"/>
      <c r="C1293" s="611">
        <v>896</v>
      </c>
      <c r="D1293" s="656" t="e">
        <f t="shared" ref="D1293:D1356" ca="1" si="98">$C$376*C1293</f>
        <v>#N/A</v>
      </c>
      <c r="E1293" s="620"/>
      <c r="F1293" s="620"/>
      <c r="G1293" s="620"/>
      <c r="H1293" s="620"/>
      <c r="I1293" s="620"/>
      <c r="J1293" s="620"/>
      <c r="K1293" s="570"/>
      <c r="O1293" s="1223"/>
      <c r="Q1293" s="1222"/>
    </row>
    <row r="1294" spans="2:17" x14ac:dyDescent="0.4">
      <c r="B1294" s="130"/>
      <c r="C1294" s="611">
        <v>897</v>
      </c>
      <c r="D1294" s="656" t="e">
        <f t="shared" ca="1" si="98"/>
        <v>#N/A</v>
      </c>
      <c r="E1294" s="620"/>
      <c r="F1294" s="620"/>
      <c r="G1294" s="620"/>
      <c r="H1294" s="620"/>
      <c r="I1294" s="620"/>
      <c r="J1294" s="620"/>
      <c r="K1294" s="570"/>
      <c r="O1294" s="1223"/>
      <c r="Q1294" s="1222"/>
    </row>
    <row r="1295" spans="2:17" x14ac:dyDescent="0.4">
      <c r="B1295" s="130"/>
      <c r="C1295" s="611">
        <v>898</v>
      </c>
      <c r="D1295" s="656" t="e">
        <f t="shared" ca="1" si="98"/>
        <v>#N/A</v>
      </c>
      <c r="E1295" s="620"/>
      <c r="F1295" s="620"/>
      <c r="G1295" s="620"/>
      <c r="H1295" s="620"/>
      <c r="I1295" s="620"/>
      <c r="J1295" s="620"/>
      <c r="K1295" s="570"/>
      <c r="O1295" s="1223"/>
      <c r="Q1295" s="1222"/>
    </row>
    <row r="1296" spans="2:17" x14ac:dyDescent="0.4">
      <c r="B1296" s="130"/>
      <c r="C1296" s="611">
        <v>899</v>
      </c>
      <c r="D1296" s="656" t="e">
        <f t="shared" ca="1" si="98"/>
        <v>#N/A</v>
      </c>
      <c r="E1296" s="620"/>
      <c r="F1296" s="620"/>
      <c r="G1296" s="620"/>
      <c r="H1296" s="620"/>
      <c r="I1296" s="620"/>
      <c r="J1296" s="620"/>
      <c r="K1296" s="570"/>
      <c r="O1296" s="1223"/>
      <c r="Q1296" s="1222"/>
    </row>
    <row r="1297" spans="2:17" x14ac:dyDescent="0.4">
      <c r="B1297" s="130"/>
      <c r="C1297" s="611">
        <v>900</v>
      </c>
      <c r="D1297" s="656" t="e">
        <f t="shared" ca="1" si="98"/>
        <v>#N/A</v>
      </c>
      <c r="E1297" s="620"/>
      <c r="F1297" s="620"/>
      <c r="G1297" s="620"/>
      <c r="H1297" s="620"/>
      <c r="I1297" s="620"/>
      <c r="J1297" s="620"/>
      <c r="K1297" s="570"/>
      <c r="O1297" s="1223"/>
      <c r="Q1297" s="1222"/>
    </row>
    <row r="1298" spans="2:17" x14ac:dyDescent="0.4">
      <c r="B1298" s="130"/>
      <c r="C1298" s="611">
        <v>901</v>
      </c>
      <c r="D1298" s="656" t="e">
        <f t="shared" ca="1" si="98"/>
        <v>#N/A</v>
      </c>
      <c r="E1298" s="620"/>
      <c r="F1298" s="620"/>
      <c r="G1298" s="620"/>
      <c r="H1298" s="620"/>
      <c r="I1298" s="620"/>
      <c r="J1298" s="620"/>
      <c r="K1298" s="570"/>
      <c r="O1298" s="1223"/>
      <c r="Q1298" s="1222"/>
    </row>
    <row r="1299" spans="2:17" x14ac:dyDescent="0.4">
      <c r="B1299" s="130"/>
      <c r="C1299" s="611">
        <v>902</v>
      </c>
      <c r="D1299" s="656" t="e">
        <f t="shared" ca="1" si="98"/>
        <v>#N/A</v>
      </c>
      <c r="E1299" s="620"/>
      <c r="F1299" s="620"/>
      <c r="G1299" s="620"/>
      <c r="H1299" s="620"/>
      <c r="I1299" s="620"/>
      <c r="J1299" s="620"/>
      <c r="K1299" s="570"/>
      <c r="O1299" s="1223"/>
      <c r="Q1299" s="1222"/>
    </row>
    <row r="1300" spans="2:17" x14ac:dyDescent="0.4">
      <c r="B1300" s="130"/>
      <c r="C1300" s="611">
        <v>903</v>
      </c>
      <c r="D1300" s="656" t="e">
        <f t="shared" ca="1" si="98"/>
        <v>#N/A</v>
      </c>
      <c r="E1300" s="620"/>
      <c r="F1300" s="620"/>
      <c r="G1300" s="620"/>
      <c r="H1300" s="620"/>
      <c r="I1300" s="620"/>
      <c r="J1300" s="620"/>
      <c r="K1300" s="570"/>
      <c r="O1300" s="1223"/>
      <c r="Q1300" s="1222"/>
    </row>
    <row r="1301" spans="2:17" x14ac:dyDescent="0.4">
      <c r="B1301" s="130"/>
      <c r="C1301" s="611">
        <v>904</v>
      </c>
      <c r="D1301" s="656" t="e">
        <f t="shared" ca="1" si="98"/>
        <v>#N/A</v>
      </c>
      <c r="E1301" s="620"/>
      <c r="F1301" s="620"/>
      <c r="G1301" s="620"/>
      <c r="H1301" s="620"/>
      <c r="I1301" s="620"/>
      <c r="J1301" s="620"/>
      <c r="K1301" s="570"/>
      <c r="O1301" s="1223"/>
      <c r="Q1301" s="1222"/>
    </row>
    <row r="1302" spans="2:17" x14ac:dyDescent="0.4">
      <c r="B1302" s="130"/>
      <c r="C1302" s="611">
        <v>905</v>
      </c>
      <c r="D1302" s="656" t="e">
        <f t="shared" ca="1" si="98"/>
        <v>#N/A</v>
      </c>
      <c r="E1302" s="620"/>
      <c r="F1302" s="620"/>
      <c r="G1302" s="620"/>
      <c r="H1302" s="620"/>
      <c r="I1302" s="620"/>
      <c r="J1302" s="620"/>
      <c r="K1302" s="570"/>
      <c r="O1302" s="1223"/>
      <c r="Q1302" s="1222"/>
    </row>
    <row r="1303" spans="2:17" x14ac:dyDescent="0.4">
      <c r="B1303" s="130"/>
      <c r="C1303" s="611">
        <v>906</v>
      </c>
      <c r="D1303" s="656" t="e">
        <f t="shared" ca="1" si="98"/>
        <v>#N/A</v>
      </c>
      <c r="E1303" s="620"/>
      <c r="F1303" s="620"/>
      <c r="G1303" s="620"/>
      <c r="H1303" s="620"/>
      <c r="I1303" s="620"/>
      <c r="J1303" s="620"/>
      <c r="K1303" s="570"/>
      <c r="O1303" s="1223"/>
      <c r="Q1303" s="1222"/>
    </row>
    <row r="1304" spans="2:17" x14ac:dyDescent="0.4">
      <c r="B1304" s="130"/>
      <c r="C1304" s="611">
        <v>907</v>
      </c>
      <c r="D1304" s="656" t="e">
        <f t="shared" ca="1" si="98"/>
        <v>#N/A</v>
      </c>
      <c r="E1304" s="620"/>
      <c r="F1304" s="620"/>
      <c r="G1304" s="620"/>
      <c r="H1304" s="620"/>
      <c r="I1304" s="620"/>
      <c r="J1304" s="620"/>
      <c r="K1304" s="570"/>
      <c r="O1304" s="1223"/>
      <c r="Q1304" s="1222"/>
    </row>
    <row r="1305" spans="2:17" x14ac:dyDescent="0.4">
      <c r="B1305" s="130"/>
      <c r="C1305" s="611">
        <v>908</v>
      </c>
      <c r="D1305" s="656" t="e">
        <f t="shared" ca="1" si="98"/>
        <v>#N/A</v>
      </c>
      <c r="E1305" s="620"/>
      <c r="F1305" s="620"/>
      <c r="G1305" s="620"/>
      <c r="H1305" s="620"/>
      <c r="I1305" s="620"/>
      <c r="J1305" s="620"/>
      <c r="K1305" s="570"/>
      <c r="O1305" s="1223"/>
      <c r="Q1305" s="1222"/>
    </row>
    <row r="1306" spans="2:17" x14ac:dyDescent="0.4">
      <c r="B1306" s="130"/>
      <c r="C1306" s="611">
        <v>909</v>
      </c>
      <c r="D1306" s="656" t="e">
        <f t="shared" ca="1" si="98"/>
        <v>#N/A</v>
      </c>
      <c r="E1306" s="620"/>
      <c r="F1306" s="620"/>
      <c r="G1306" s="620"/>
      <c r="H1306" s="620"/>
      <c r="I1306" s="620"/>
      <c r="J1306" s="620"/>
      <c r="K1306" s="570"/>
      <c r="O1306" s="1223"/>
      <c r="Q1306" s="1222"/>
    </row>
    <row r="1307" spans="2:17" x14ac:dyDescent="0.4">
      <c r="B1307" s="130"/>
      <c r="C1307" s="611">
        <v>910</v>
      </c>
      <c r="D1307" s="656" t="e">
        <f t="shared" ca="1" si="98"/>
        <v>#N/A</v>
      </c>
      <c r="E1307" s="620"/>
      <c r="F1307" s="620"/>
      <c r="G1307" s="620"/>
      <c r="H1307" s="620"/>
      <c r="I1307" s="620"/>
      <c r="J1307" s="620"/>
      <c r="K1307" s="570"/>
      <c r="O1307" s="1223"/>
      <c r="Q1307" s="1222"/>
    </row>
    <row r="1308" spans="2:17" x14ac:dyDescent="0.4">
      <c r="B1308" s="130"/>
      <c r="C1308" s="611">
        <v>911</v>
      </c>
      <c r="D1308" s="656" t="e">
        <f t="shared" ca="1" si="98"/>
        <v>#N/A</v>
      </c>
      <c r="E1308" s="620"/>
      <c r="F1308" s="620"/>
      <c r="G1308" s="620"/>
      <c r="H1308" s="620"/>
      <c r="I1308" s="620"/>
      <c r="J1308" s="620"/>
      <c r="K1308" s="570"/>
      <c r="O1308" s="1223"/>
      <c r="Q1308" s="1222"/>
    </row>
    <row r="1309" spans="2:17" x14ac:dyDescent="0.4">
      <c r="B1309" s="130"/>
      <c r="C1309" s="611">
        <v>912</v>
      </c>
      <c r="D1309" s="656" t="e">
        <f t="shared" ca="1" si="98"/>
        <v>#N/A</v>
      </c>
      <c r="E1309" s="620"/>
      <c r="F1309" s="620"/>
      <c r="G1309" s="620"/>
      <c r="H1309" s="620"/>
      <c r="I1309" s="620"/>
      <c r="J1309" s="620"/>
      <c r="K1309" s="570"/>
      <c r="O1309" s="1223"/>
      <c r="Q1309" s="1222"/>
    </row>
    <row r="1310" spans="2:17" x14ac:dyDescent="0.4">
      <c r="B1310" s="130"/>
      <c r="C1310" s="611">
        <v>913</v>
      </c>
      <c r="D1310" s="656" t="e">
        <f t="shared" ca="1" si="98"/>
        <v>#N/A</v>
      </c>
      <c r="E1310" s="620"/>
      <c r="F1310" s="620"/>
      <c r="G1310" s="620"/>
      <c r="H1310" s="620"/>
      <c r="I1310" s="620"/>
      <c r="J1310" s="620"/>
      <c r="K1310" s="570"/>
      <c r="O1310" s="1223"/>
      <c r="Q1310" s="1222"/>
    </row>
    <row r="1311" spans="2:17" x14ac:dyDescent="0.4">
      <c r="B1311" s="130"/>
      <c r="C1311" s="611">
        <v>914</v>
      </c>
      <c r="D1311" s="656" t="e">
        <f t="shared" ca="1" si="98"/>
        <v>#N/A</v>
      </c>
      <c r="E1311" s="620"/>
      <c r="F1311" s="620"/>
      <c r="G1311" s="620"/>
      <c r="H1311" s="620"/>
      <c r="I1311" s="620"/>
      <c r="J1311" s="620"/>
      <c r="K1311" s="570"/>
      <c r="O1311" s="1223"/>
      <c r="Q1311" s="1222"/>
    </row>
    <row r="1312" spans="2:17" x14ac:dyDescent="0.4">
      <c r="B1312" s="130"/>
      <c r="C1312" s="611">
        <v>915</v>
      </c>
      <c r="D1312" s="656" t="e">
        <f t="shared" ca="1" si="98"/>
        <v>#N/A</v>
      </c>
      <c r="E1312" s="620"/>
      <c r="F1312" s="620"/>
      <c r="G1312" s="620"/>
      <c r="H1312" s="620"/>
      <c r="I1312" s="620"/>
      <c r="J1312" s="620"/>
      <c r="K1312" s="570"/>
      <c r="O1312" s="1223"/>
      <c r="Q1312" s="1222"/>
    </row>
    <row r="1313" spans="2:17" x14ac:dyDescent="0.4">
      <c r="B1313" s="130"/>
      <c r="C1313" s="611">
        <v>916</v>
      </c>
      <c r="D1313" s="656" t="e">
        <f t="shared" ca="1" si="98"/>
        <v>#N/A</v>
      </c>
      <c r="E1313" s="620"/>
      <c r="F1313" s="620"/>
      <c r="G1313" s="620"/>
      <c r="H1313" s="620"/>
      <c r="I1313" s="620"/>
      <c r="J1313" s="620"/>
      <c r="K1313" s="570"/>
      <c r="O1313" s="1223"/>
      <c r="Q1313" s="1222"/>
    </row>
    <row r="1314" spans="2:17" x14ac:dyDescent="0.4">
      <c r="B1314" s="130"/>
      <c r="C1314" s="611">
        <v>917</v>
      </c>
      <c r="D1314" s="656" t="e">
        <f t="shared" ca="1" si="98"/>
        <v>#N/A</v>
      </c>
      <c r="E1314" s="620"/>
      <c r="F1314" s="620"/>
      <c r="G1314" s="620"/>
      <c r="H1314" s="620"/>
      <c r="I1314" s="620"/>
      <c r="J1314" s="620"/>
      <c r="K1314" s="570"/>
      <c r="O1314" s="1223"/>
      <c r="Q1314" s="1222"/>
    </row>
    <row r="1315" spans="2:17" x14ac:dyDescent="0.4">
      <c r="B1315" s="130"/>
      <c r="C1315" s="611">
        <v>918</v>
      </c>
      <c r="D1315" s="656" t="e">
        <f t="shared" ca="1" si="98"/>
        <v>#N/A</v>
      </c>
      <c r="E1315" s="620"/>
      <c r="F1315" s="620"/>
      <c r="G1315" s="620"/>
      <c r="H1315" s="620"/>
      <c r="I1315" s="620"/>
      <c r="J1315" s="620"/>
      <c r="K1315" s="570"/>
      <c r="O1315" s="1223"/>
      <c r="Q1315" s="1222"/>
    </row>
    <row r="1316" spans="2:17" x14ac:dyDescent="0.4">
      <c r="B1316" s="130"/>
      <c r="C1316" s="611">
        <v>919</v>
      </c>
      <c r="D1316" s="656" t="e">
        <f t="shared" ca="1" si="98"/>
        <v>#N/A</v>
      </c>
      <c r="E1316" s="620"/>
      <c r="F1316" s="620"/>
      <c r="G1316" s="620"/>
      <c r="H1316" s="620"/>
      <c r="I1316" s="620"/>
      <c r="J1316" s="620"/>
      <c r="K1316" s="570"/>
      <c r="O1316" s="1223"/>
      <c r="Q1316" s="1222"/>
    </row>
    <row r="1317" spans="2:17" x14ac:dyDescent="0.4">
      <c r="B1317" s="130"/>
      <c r="C1317" s="611">
        <v>920</v>
      </c>
      <c r="D1317" s="656" t="e">
        <f t="shared" ca="1" si="98"/>
        <v>#N/A</v>
      </c>
      <c r="E1317" s="620"/>
      <c r="F1317" s="620"/>
      <c r="G1317" s="620"/>
      <c r="H1317" s="620"/>
      <c r="I1317" s="620"/>
      <c r="J1317" s="620"/>
      <c r="K1317" s="570"/>
      <c r="O1317" s="1223"/>
      <c r="Q1317" s="1222"/>
    </row>
    <row r="1318" spans="2:17" x14ac:dyDescent="0.4">
      <c r="B1318" s="130"/>
      <c r="C1318" s="611">
        <v>921</v>
      </c>
      <c r="D1318" s="656" t="e">
        <f t="shared" ca="1" si="98"/>
        <v>#N/A</v>
      </c>
      <c r="E1318" s="620"/>
      <c r="F1318" s="620"/>
      <c r="G1318" s="620"/>
      <c r="H1318" s="620"/>
      <c r="I1318" s="620"/>
      <c r="J1318" s="620"/>
      <c r="K1318" s="570"/>
      <c r="O1318" s="1223"/>
      <c r="Q1318" s="1222"/>
    </row>
    <row r="1319" spans="2:17" x14ac:dyDescent="0.4">
      <c r="B1319" s="130"/>
      <c r="C1319" s="611">
        <v>922</v>
      </c>
      <c r="D1319" s="656" t="e">
        <f t="shared" ca="1" si="98"/>
        <v>#N/A</v>
      </c>
      <c r="E1319" s="620"/>
      <c r="F1319" s="620"/>
      <c r="G1319" s="620"/>
      <c r="H1319" s="620"/>
      <c r="I1319" s="620"/>
      <c r="J1319" s="620"/>
      <c r="K1319" s="570"/>
      <c r="O1319" s="1223"/>
      <c r="Q1319" s="1222"/>
    </row>
    <row r="1320" spans="2:17" x14ac:dyDescent="0.4">
      <c r="B1320" s="130"/>
      <c r="C1320" s="611">
        <v>923</v>
      </c>
      <c r="D1320" s="656" t="e">
        <f t="shared" ca="1" si="98"/>
        <v>#N/A</v>
      </c>
      <c r="E1320" s="620"/>
      <c r="F1320" s="620"/>
      <c r="G1320" s="620"/>
      <c r="H1320" s="620"/>
      <c r="I1320" s="620"/>
      <c r="J1320" s="620"/>
      <c r="K1320" s="570"/>
      <c r="O1320" s="1223"/>
      <c r="Q1320" s="1222"/>
    </row>
    <row r="1321" spans="2:17" x14ac:dyDescent="0.4">
      <c r="B1321" s="130"/>
      <c r="C1321" s="611">
        <v>924</v>
      </c>
      <c r="D1321" s="656" t="e">
        <f t="shared" ca="1" si="98"/>
        <v>#N/A</v>
      </c>
      <c r="E1321" s="620"/>
      <c r="F1321" s="620"/>
      <c r="G1321" s="620"/>
      <c r="H1321" s="620"/>
      <c r="I1321" s="620"/>
      <c r="J1321" s="620"/>
      <c r="K1321" s="570"/>
      <c r="O1321" s="1223"/>
      <c r="Q1321" s="1222"/>
    </row>
    <row r="1322" spans="2:17" x14ac:dyDescent="0.4">
      <c r="B1322" s="130"/>
      <c r="C1322" s="611">
        <v>925</v>
      </c>
      <c r="D1322" s="656" t="e">
        <f t="shared" ca="1" si="98"/>
        <v>#N/A</v>
      </c>
      <c r="E1322" s="620"/>
      <c r="F1322" s="620"/>
      <c r="G1322" s="620"/>
      <c r="H1322" s="620"/>
      <c r="I1322" s="620"/>
      <c r="J1322" s="620"/>
      <c r="K1322" s="570"/>
      <c r="O1322" s="1223"/>
      <c r="Q1322" s="1222"/>
    </row>
    <row r="1323" spans="2:17" x14ac:dyDescent="0.4">
      <c r="B1323" s="130"/>
      <c r="C1323" s="611">
        <v>926</v>
      </c>
      <c r="D1323" s="656" t="e">
        <f t="shared" ca="1" si="98"/>
        <v>#N/A</v>
      </c>
      <c r="E1323" s="620"/>
      <c r="F1323" s="620"/>
      <c r="G1323" s="620"/>
      <c r="H1323" s="620"/>
      <c r="I1323" s="620"/>
      <c r="J1323" s="620"/>
      <c r="K1323" s="570"/>
      <c r="O1323" s="1223"/>
      <c r="Q1323" s="1222"/>
    </row>
    <row r="1324" spans="2:17" x14ac:dyDescent="0.4">
      <c r="B1324" s="130"/>
      <c r="C1324" s="611">
        <v>927</v>
      </c>
      <c r="D1324" s="656" t="e">
        <f t="shared" ca="1" si="98"/>
        <v>#N/A</v>
      </c>
      <c r="E1324" s="620"/>
      <c r="F1324" s="620"/>
      <c r="G1324" s="620"/>
      <c r="H1324" s="620"/>
      <c r="I1324" s="620"/>
      <c r="J1324" s="620"/>
      <c r="K1324" s="570"/>
      <c r="O1324" s="1223"/>
      <c r="Q1324" s="1222"/>
    </row>
    <row r="1325" spans="2:17" x14ac:dyDescent="0.4">
      <c r="B1325" s="130"/>
      <c r="C1325" s="611">
        <v>928</v>
      </c>
      <c r="D1325" s="656" t="e">
        <f t="shared" ca="1" si="98"/>
        <v>#N/A</v>
      </c>
      <c r="E1325" s="620"/>
      <c r="F1325" s="620"/>
      <c r="G1325" s="620"/>
      <c r="H1325" s="620"/>
      <c r="I1325" s="620"/>
      <c r="J1325" s="620"/>
      <c r="K1325" s="570"/>
      <c r="O1325" s="1223"/>
      <c r="Q1325" s="1222"/>
    </row>
    <row r="1326" spans="2:17" x14ac:dyDescent="0.4">
      <c r="B1326" s="130"/>
      <c r="C1326" s="611">
        <v>929</v>
      </c>
      <c r="D1326" s="656" t="e">
        <f t="shared" ca="1" si="98"/>
        <v>#N/A</v>
      </c>
      <c r="E1326" s="620"/>
      <c r="F1326" s="620"/>
      <c r="G1326" s="620"/>
      <c r="H1326" s="620"/>
      <c r="I1326" s="620"/>
      <c r="J1326" s="620"/>
      <c r="K1326" s="570"/>
      <c r="O1326" s="1223"/>
      <c r="Q1326" s="1222"/>
    </row>
    <row r="1327" spans="2:17" x14ac:dyDescent="0.4">
      <c r="B1327" s="130"/>
      <c r="C1327" s="611">
        <v>930</v>
      </c>
      <c r="D1327" s="656" t="e">
        <f t="shared" ca="1" si="98"/>
        <v>#N/A</v>
      </c>
      <c r="E1327" s="620"/>
      <c r="F1327" s="620"/>
      <c r="G1327" s="620"/>
      <c r="H1327" s="620"/>
      <c r="I1327" s="620"/>
      <c r="J1327" s="620"/>
      <c r="K1327" s="570"/>
      <c r="O1327" s="1223"/>
      <c r="Q1327" s="1222"/>
    </row>
    <row r="1328" spans="2:17" x14ac:dyDescent="0.4">
      <c r="B1328" s="130"/>
      <c r="C1328" s="611">
        <v>931</v>
      </c>
      <c r="D1328" s="656" t="e">
        <f t="shared" ca="1" si="98"/>
        <v>#N/A</v>
      </c>
      <c r="E1328" s="620"/>
      <c r="F1328" s="620"/>
      <c r="G1328" s="620"/>
      <c r="H1328" s="620"/>
      <c r="I1328" s="620"/>
      <c r="J1328" s="620"/>
      <c r="K1328" s="570"/>
      <c r="O1328" s="1223"/>
      <c r="Q1328" s="1222"/>
    </row>
    <row r="1329" spans="2:17" x14ac:dyDescent="0.4">
      <c r="B1329" s="130"/>
      <c r="C1329" s="611">
        <v>932</v>
      </c>
      <c r="D1329" s="656" t="e">
        <f t="shared" ca="1" si="98"/>
        <v>#N/A</v>
      </c>
      <c r="E1329" s="620"/>
      <c r="F1329" s="620"/>
      <c r="G1329" s="620"/>
      <c r="H1329" s="620"/>
      <c r="I1329" s="620"/>
      <c r="J1329" s="620"/>
      <c r="K1329" s="570"/>
      <c r="O1329" s="1223"/>
      <c r="Q1329" s="1222"/>
    </row>
    <row r="1330" spans="2:17" x14ac:dyDescent="0.4">
      <c r="B1330" s="130"/>
      <c r="C1330" s="611">
        <v>933</v>
      </c>
      <c r="D1330" s="656" t="e">
        <f t="shared" ca="1" si="98"/>
        <v>#N/A</v>
      </c>
      <c r="E1330" s="620"/>
      <c r="F1330" s="620"/>
      <c r="G1330" s="620"/>
      <c r="H1330" s="620"/>
      <c r="I1330" s="620"/>
      <c r="J1330" s="620"/>
      <c r="K1330" s="570"/>
      <c r="O1330" s="1223"/>
      <c r="Q1330" s="1222"/>
    </row>
    <row r="1331" spans="2:17" x14ac:dyDescent="0.4">
      <c r="B1331" s="130"/>
      <c r="C1331" s="611">
        <v>934</v>
      </c>
      <c r="D1331" s="656" t="e">
        <f t="shared" ca="1" si="98"/>
        <v>#N/A</v>
      </c>
      <c r="E1331" s="620"/>
      <c r="F1331" s="620"/>
      <c r="G1331" s="620"/>
      <c r="H1331" s="620"/>
      <c r="I1331" s="620"/>
      <c r="J1331" s="620"/>
      <c r="K1331" s="570"/>
      <c r="O1331" s="1223"/>
      <c r="Q1331" s="1222"/>
    </row>
    <row r="1332" spans="2:17" x14ac:dyDescent="0.4">
      <c r="B1332" s="130"/>
      <c r="C1332" s="611">
        <v>935</v>
      </c>
      <c r="D1332" s="656" t="e">
        <f t="shared" ca="1" si="98"/>
        <v>#N/A</v>
      </c>
      <c r="E1332" s="620"/>
      <c r="F1332" s="620"/>
      <c r="G1332" s="620"/>
      <c r="H1332" s="620"/>
      <c r="I1332" s="620"/>
      <c r="J1332" s="620"/>
      <c r="K1332" s="570"/>
      <c r="O1332" s="1223"/>
      <c r="Q1332" s="1222"/>
    </row>
    <row r="1333" spans="2:17" x14ac:dyDescent="0.4">
      <c r="B1333" s="130"/>
      <c r="C1333" s="611">
        <v>936</v>
      </c>
      <c r="D1333" s="656" t="e">
        <f t="shared" ca="1" si="98"/>
        <v>#N/A</v>
      </c>
      <c r="E1333" s="620"/>
      <c r="F1333" s="620"/>
      <c r="G1333" s="620"/>
      <c r="H1333" s="620"/>
      <c r="I1333" s="620"/>
      <c r="J1333" s="620"/>
      <c r="K1333" s="570"/>
      <c r="O1333" s="1223"/>
      <c r="Q1333" s="1222"/>
    </row>
    <row r="1334" spans="2:17" x14ac:dyDescent="0.4">
      <c r="B1334" s="130"/>
      <c r="C1334" s="611">
        <v>937</v>
      </c>
      <c r="D1334" s="656" t="e">
        <f t="shared" ca="1" si="98"/>
        <v>#N/A</v>
      </c>
      <c r="E1334" s="620"/>
      <c r="F1334" s="620"/>
      <c r="G1334" s="620"/>
      <c r="H1334" s="620"/>
      <c r="I1334" s="620"/>
      <c r="J1334" s="620"/>
      <c r="K1334" s="570"/>
      <c r="O1334" s="1223"/>
      <c r="Q1334" s="1222"/>
    </row>
    <row r="1335" spans="2:17" x14ac:dyDescent="0.4">
      <c r="B1335" s="130"/>
      <c r="C1335" s="611">
        <v>938</v>
      </c>
      <c r="D1335" s="656" t="e">
        <f t="shared" ca="1" si="98"/>
        <v>#N/A</v>
      </c>
      <c r="E1335" s="620"/>
      <c r="F1335" s="620"/>
      <c r="G1335" s="620"/>
      <c r="H1335" s="620"/>
      <c r="I1335" s="620"/>
      <c r="J1335" s="620"/>
      <c r="K1335" s="570"/>
      <c r="O1335" s="1223"/>
      <c r="Q1335" s="1222"/>
    </row>
    <row r="1336" spans="2:17" x14ac:dyDescent="0.4">
      <c r="B1336" s="130"/>
      <c r="C1336" s="611">
        <v>939</v>
      </c>
      <c r="D1336" s="656" t="e">
        <f t="shared" ca="1" si="98"/>
        <v>#N/A</v>
      </c>
      <c r="E1336" s="620"/>
      <c r="F1336" s="620"/>
      <c r="G1336" s="620"/>
      <c r="H1336" s="620"/>
      <c r="I1336" s="620"/>
      <c r="J1336" s="620"/>
      <c r="K1336" s="570"/>
      <c r="O1336" s="1223"/>
      <c r="Q1336" s="1222"/>
    </row>
    <row r="1337" spans="2:17" x14ac:dyDescent="0.4">
      <c r="B1337" s="130"/>
      <c r="C1337" s="611">
        <v>940</v>
      </c>
      <c r="D1337" s="656" t="e">
        <f t="shared" ca="1" si="98"/>
        <v>#N/A</v>
      </c>
      <c r="E1337" s="620"/>
      <c r="F1337" s="620"/>
      <c r="G1337" s="620"/>
      <c r="H1337" s="620"/>
      <c r="I1337" s="620"/>
      <c r="J1337" s="620"/>
      <c r="K1337" s="570"/>
      <c r="O1337" s="1223"/>
      <c r="Q1337" s="1222"/>
    </row>
    <row r="1338" spans="2:17" x14ac:dyDescent="0.4">
      <c r="B1338" s="130"/>
      <c r="C1338" s="611">
        <v>941</v>
      </c>
      <c r="D1338" s="656" t="e">
        <f t="shared" ca="1" si="98"/>
        <v>#N/A</v>
      </c>
      <c r="E1338" s="620"/>
      <c r="F1338" s="620"/>
      <c r="G1338" s="620"/>
      <c r="H1338" s="620"/>
      <c r="I1338" s="620"/>
      <c r="J1338" s="620"/>
      <c r="K1338" s="570"/>
      <c r="O1338" s="1223"/>
      <c r="Q1338" s="1222"/>
    </row>
    <row r="1339" spans="2:17" x14ac:dyDescent="0.4">
      <c r="B1339" s="130"/>
      <c r="C1339" s="611">
        <v>942</v>
      </c>
      <c r="D1339" s="656" t="e">
        <f t="shared" ca="1" si="98"/>
        <v>#N/A</v>
      </c>
      <c r="E1339" s="620"/>
      <c r="F1339" s="620"/>
      <c r="G1339" s="620"/>
      <c r="H1339" s="620"/>
      <c r="I1339" s="620"/>
      <c r="J1339" s="620"/>
      <c r="K1339" s="570"/>
      <c r="O1339" s="1223"/>
      <c r="Q1339" s="1222"/>
    </row>
    <row r="1340" spans="2:17" x14ac:dyDescent="0.4">
      <c r="B1340" s="130"/>
      <c r="C1340" s="611">
        <v>943</v>
      </c>
      <c r="D1340" s="656" t="e">
        <f t="shared" ca="1" si="98"/>
        <v>#N/A</v>
      </c>
      <c r="E1340" s="620"/>
      <c r="F1340" s="620"/>
      <c r="G1340" s="620"/>
      <c r="H1340" s="620"/>
      <c r="I1340" s="620"/>
      <c r="J1340" s="620"/>
      <c r="K1340" s="570"/>
      <c r="O1340" s="1223"/>
      <c r="Q1340" s="1222"/>
    </row>
    <row r="1341" spans="2:17" x14ac:dyDescent="0.4">
      <c r="B1341" s="130"/>
      <c r="C1341" s="611">
        <v>944</v>
      </c>
      <c r="D1341" s="656" t="e">
        <f t="shared" ca="1" si="98"/>
        <v>#N/A</v>
      </c>
      <c r="E1341" s="620"/>
      <c r="F1341" s="620"/>
      <c r="G1341" s="620"/>
      <c r="H1341" s="620"/>
      <c r="I1341" s="620"/>
      <c r="J1341" s="620"/>
      <c r="K1341" s="570"/>
      <c r="O1341" s="1223"/>
      <c r="Q1341" s="1222"/>
    </row>
    <row r="1342" spans="2:17" x14ac:dyDescent="0.4">
      <c r="B1342" s="130"/>
      <c r="C1342" s="611">
        <v>945</v>
      </c>
      <c r="D1342" s="656" t="e">
        <f t="shared" ca="1" si="98"/>
        <v>#N/A</v>
      </c>
      <c r="E1342" s="620"/>
      <c r="F1342" s="620"/>
      <c r="G1342" s="620"/>
      <c r="H1342" s="620"/>
      <c r="I1342" s="620"/>
      <c r="J1342" s="620"/>
      <c r="K1342" s="570"/>
      <c r="O1342" s="1223"/>
      <c r="Q1342" s="1222"/>
    </row>
    <row r="1343" spans="2:17" x14ac:dyDescent="0.4">
      <c r="B1343" s="130"/>
      <c r="C1343" s="611">
        <v>946</v>
      </c>
      <c r="D1343" s="656" t="e">
        <f t="shared" ca="1" si="98"/>
        <v>#N/A</v>
      </c>
      <c r="E1343" s="620"/>
      <c r="F1343" s="620"/>
      <c r="G1343" s="620"/>
      <c r="H1343" s="620"/>
      <c r="I1343" s="620"/>
      <c r="J1343" s="620"/>
      <c r="K1343" s="570"/>
      <c r="O1343" s="1223"/>
      <c r="Q1343" s="1222"/>
    </row>
    <row r="1344" spans="2:17" x14ac:dyDescent="0.4">
      <c r="B1344" s="130"/>
      <c r="C1344" s="611">
        <v>947</v>
      </c>
      <c r="D1344" s="656" t="e">
        <f t="shared" ca="1" si="98"/>
        <v>#N/A</v>
      </c>
      <c r="E1344" s="620"/>
      <c r="F1344" s="620"/>
      <c r="G1344" s="620"/>
      <c r="H1344" s="620"/>
      <c r="I1344" s="620"/>
      <c r="J1344" s="620"/>
      <c r="K1344" s="570"/>
      <c r="O1344" s="1223"/>
      <c r="Q1344" s="1222"/>
    </row>
    <row r="1345" spans="2:17" x14ac:dyDescent="0.4">
      <c r="B1345" s="130"/>
      <c r="C1345" s="611">
        <v>948</v>
      </c>
      <c r="D1345" s="656" t="e">
        <f t="shared" ca="1" si="98"/>
        <v>#N/A</v>
      </c>
      <c r="E1345" s="620"/>
      <c r="F1345" s="620"/>
      <c r="G1345" s="620"/>
      <c r="H1345" s="620"/>
      <c r="I1345" s="620"/>
      <c r="J1345" s="620"/>
      <c r="K1345" s="570"/>
      <c r="O1345" s="1223"/>
      <c r="Q1345" s="1222"/>
    </row>
    <row r="1346" spans="2:17" x14ac:dyDescent="0.4">
      <c r="B1346" s="130"/>
      <c r="C1346" s="611">
        <v>949</v>
      </c>
      <c r="D1346" s="656" t="e">
        <f t="shared" ca="1" si="98"/>
        <v>#N/A</v>
      </c>
      <c r="E1346" s="620"/>
      <c r="F1346" s="620"/>
      <c r="G1346" s="620"/>
      <c r="H1346" s="620"/>
      <c r="I1346" s="620"/>
      <c r="J1346" s="620"/>
      <c r="K1346" s="570"/>
      <c r="O1346" s="1223"/>
      <c r="Q1346" s="1222"/>
    </row>
    <row r="1347" spans="2:17" x14ac:dyDescent="0.4">
      <c r="B1347" s="130"/>
      <c r="C1347" s="611">
        <v>950</v>
      </c>
      <c r="D1347" s="656" t="e">
        <f t="shared" ca="1" si="98"/>
        <v>#N/A</v>
      </c>
      <c r="E1347" s="620"/>
      <c r="F1347" s="620"/>
      <c r="G1347" s="620"/>
      <c r="H1347" s="620"/>
      <c r="I1347" s="620"/>
      <c r="J1347" s="620"/>
      <c r="K1347" s="570"/>
      <c r="O1347" s="1223"/>
      <c r="Q1347" s="1222"/>
    </row>
    <row r="1348" spans="2:17" x14ac:dyDescent="0.4">
      <c r="B1348" s="130"/>
      <c r="C1348" s="611">
        <v>951</v>
      </c>
      <c r="D1348" s="656" t="e">
        <f t="shared" ca="1" si="98"/>
        <v>#N/A</v>
      </c>
      <c r="E1348" s="620"/>
      <c r="F1348" s="620"/>
      <c r="G1348" s="620"/>
      <c r="H1348" s="620"/>
      <c r="I1348" s="620"/>
      <c r="J1348" s="620"/>
      <c r="K1348" s="570"/>
      <c r="O1348" s="1223"/>
      <c r="Q1348" s="1222"/>
    </row>
    <row r="1349" spans="2:17" x14ac:dyDescent="0.4">
      <c r="B1349" s="130"/>
      <c r="C1349" s="611">
        <v>952</v>
      </c>
      <c r="D1349" s="656" t="e">
        <f t="shared" ca="1" si="98"/>
        <v>#N/A</v>
      </c>
      <c r="E1349" s="620"/>
      <c r="F1349" s="620"/>
      <c r="G1349" s="620"/>
      <c r="H1349" s="620"/>
      <c r="I1349" s="620"/>
      <c r="J1349" s="620"/>
      <c r="K1349" s="570"/>
      <c r="O1349" s="1223"/>
      <c r="Q1349" s="1222"/>
    </row>
    <row r="1350" spans="2:17" x14ac:dyDescent="0.4">
      <c r="B1350" s="130"/>
      <c r="C1350" s="611">
        <v>953</v>
      </c>
      <c r="D1350" s="656" t="e">
        <f t="shared" ca="1" si="98"/>
        <v>#N/A</v>
      </c>
      <c r="E1350" s="620"/>
      <c r="F1350" s="620"/>
      <c r="G1350" s="620"/>
      <c r="H1350" s="620"/>
      <c r="I1350" s="620"/>
      <c r="J1350" s="620"/>
      <c r="K1350" s="570"/>
      <c r="O1350" s="1223"/>
      <c r="Q1350" s="1222"/>
    </row>
    <row r="1351" spans="2:17" x14ac:dyDescent="0.4">
      <c r="B1351" s="130"/>
      <c r="C1351" s="611">
        <v>954</v>
      </c>
      <c r="D1351" s="656" t="e">
        <f t="shared" ca="1" si="98"/>
        <v>#N/A</v>
      </c>
      <c r="E1351" s="620"/>
      <c r="F1351" s="620"/>
      <c r="G1351" s="620"/>
      <c r="H1351" s="620"/>
      <c r="I1351" s="620"/>
      <c r="J1351" s="620"/>
      <c r="K1351" s="570"/>
      <c r="O1351" s="1223"/>
      <c r="Q1351" s="1222"/>
    </row>
    <row r="1352" spans="2:17" x14ac:dyDescent="0.4">
      <c r="B1352" s="130"/>
      <c r="C1352" s="611">
        <v>955</v>
      </c>
      <c r="D1352" s="656" t="e">
        <f t="shared" ca="1" si="98"/>
        <v>#N/A</v>
      </c>
      <c r="E1352" s="620"/>
      <c r="F1352" s="620"/>
      <c r="G1352" s="620"/>
      <c r="H1352" s="620"/>
      <c r="I1352" s="620"/>
      <c r="J1352" s="620"/>
      <c r="K1352" s="570"/>
      <c r="O1352" s="1223"/>
      <c r="Q1352" s="1222"/>
    </row>
    <row r="1353" spans="2:17" x14ac:dyDescent="0.4">
      <c r="B1353" s="130"/>
      <c r="C1353" s="611">
        <v>956</v>
      </c>
      <c r="D1353" s="656" t="e">
        <f t="shared" ca="1" si="98"/>
        <v>#N/A</v>
      </c>
      <c r="E1353" s="620"/>
      <c r="F1353" s="620"/>
      <c r="G1353" s="620"/>
      <c r="H1353" s="620"/>
      <c r="I1353" s="620"/>
      <c r="J1353" s="620"/>
      <c r="K1353" s="570"/>
      <c r="O1353" s="1223"/>
      <c r="Q1353" s="1222"/>
    </row>
    <row r="1354" spans="2:17" x14ac:dyDescent="0.4">
      <c r="B1354" s="130"/>
      <c r="C1354" s="611">
        <v>957</v>
      </c>
      <c r="D1354" s="656" t="e">
        <f t="shared" ca="1" si="98"/>
        <v>#N/A</v>
      </c>
      <c r="E1354" s="620"/>
      <c r="F1354" s="620"/>
      <c r="G1354" s="620"/>
      <c r="H1354" s="620"/>
      <c r="I1354" s="620"/>
      <c r="J1354" s="620"/>
      <c r="K1354" s="570"/>
      <c r="O1354" s="1223"/>
      <c r="Q1354" s="1222"/>
    </row>
    <row r="1355" spans="2:17" x14ac:dyDescent="0.4">
      <c r="B1355" s="130"/>
      <c r="C1355" s="611">
        <v>958</v>
      </c>
      <c r="D1355" s="656" t="e">
        <f t="shared" ca="1" si="98"/>
        <v>#N/A</v>
      </c>
      <c r="E1355" s="620"/>
      <c r="F1355" s="620"/>
      <c r="G1355" s="620"/>
      <c r="H1355" s="620"/>
      <c r="I1355" s="620"/>
      <c r="J1355" s="620"/>
      <c r="K1355" s="570"/>
      <c r="O1355" s="1223"/>
      <c r="Q1355" s="1222"/>
    </row>
    <row r="1356" spans="2:17" x14ac:dyDescent="0.4">
      <c r="B1356" s="130"/>
      <c r="C1356" s="611">
        <v>959</v>
      </c>
      <c r="D1356" s="656" t="e">
        <f t="shared" ca="1" si="98"/>
        <v>#N/A</v>
      </c>
      <c r="E1356" s="620"/>
      <c r="F1356" s="620"/>
      <c r="G1356" s="620"/>
      <c r="H1356" s="620"/>
      <c r="I1356" s="620"/>
      <c r="J1356" s="620"/>
      <c r="K1356" s="570"/>
      <c r="O1356" s="1223"/>
      <c r="Q1356" s="1222"/>
    </row>
    <row r="1357" spans="2:17" x14ac:dyDescent="0.4">
      <c r="B1357" s="130"/>
      <c r="C1357" s="611">
        <v>960</v>
      </c>
      <c r="D1357" s="656" t="e">
        <f t="shared" ref="D1357:D1397" ca="1" si="99">$C$376*C1357</f>
        <v>#N/A</v>
      </c>
      <c r="E1357" s="620"/>
      <c r="F1357" s="620"/>
      <c r="G1357" s="620"/>
      <c r="H1357" s="620"/>
      <c r="I1357" s="620"/>
      <c r="J1357" s="620"/>
      <c r="K1357" s="570"/>
      <c r="O1357" s="1223"/>
      <c r="Q1357" s="1222"/>
    </row>
    <row r="1358" spans="2:17" x14ac:dyDescent="0.4">
      <c r="B1358" s="130"/>
      <c r="C1358" s="611">
        <v>961</v>
      </c>
      <c r="D1358" s="656" t="e">
        <f t="shared" ca="1" si="99"/>
        <v>#N/A</v>
      </c>
      <c r="E1358" s="620"/>
      <c r="F1358" s="620"/>
      <c r="G1358" s="620"/>
      <c r="H1358" s="620"/>
      <c r="I1358" s="620"/>
      <c r="J1358" s="620"/>
      <c r="K1358" s="570"/>
      <c r="O1358" s="1223"/>
      <c r="Q1358" s="1222"/>
    </row>
    <row r="1359" spans="2:17" x14ac:dyDescent="0.4">
      <c r="B1359" s="130"/>
      <c r="C1359" s="611">
        <v>962</v>
      </c>
      <c r="D1359" s="656" t="e">
        <f t="shared" ca="1" si="99"/>
        <v>#N/A</v>
      </c>
      <c r="E1359" s="620"/>
      <c r="F1359" s="620"/>
      <c r="G1359" s="620"/>
      <c r="H1359" s="620"/>
      <c r="I1359" s="620"/>
      <c r="J1359" s="620"/>
      <c r="K1359" s="570"/>
      <c r="O1359" s="1223"/>
      <c r="Q1359" s="1222"/>
    </row>
    <row r="1360" spans="2:17" x14ac:dyDescent="0.4">
      <c r="B1360" s="130"/>
      <c r="C1360" s="611">
        <v>963</v>
      </c>
      <c r="D1360" s="656" t="e">
        <f t="shared" ca="1" si="99"/>
        <v>#N/A</v>
      </c>
      <c r="E1360" s="620"/>
      <c r="F1360" s="620"/>
      <c r="G1360" s="620"/>
      <c r="H1360" s="620"/>
      <c r="I1360" s="620"/>
      <c r="J1360" s="620"/>
      <c r="K1360" s="570"/>
      <c r="O1360" s="1223"/>
      <c r="Q1360" s="1222"/>
    </row>
    <row r="1361" spans="2:17" x14ac:dyDescent="0.4">
      <c r="B1361" s="130"/>
      <c r="C1361" s="611">
        <v>964</v>
      </c>
      <c r="D1361" s="656" t="e">
        <f t="shared" ca="1" si="99"/>
        <v>#N/A</v>
      </c>
      <c r="E1361" s="620"/>
      <c r="F1361" s="620"/>
      <c r="G1361" s="620"/>
      <c r="H1361" s="620"/>
      <c r="I1361" s="620"/>
      <c r="J1361" s="620"/>
      <c r="K1361" s="570"/>
      <c r="O1361" s="1223"/>
      <c r="Q1361" s="1222"/>
    </row>
    <row r="1362" spans="2:17" x14ac:dyDescent="0.4">
      <c r="B1362" s="130"/>
      <c r="C1362" s="611">
        <v>965</v>
      </c>
      <c r="D1362" s="656" t="e">
        <f t="shared" ca="1" si="99"/>
        <v>#N/A</v>
      </c>
      <c r="E1362" s="620"/>
      <c r="F1362" s="620"/>
      <c r="G1362" s="620"/>
      <c r="H1362" s="620"/>
      <c r="I1362" s="620"/>
      <c r="J1362" s="620"/>
      <c r="K1362" s="570"/>
      <c r="O1362" s="1223"/>
      <c r="Q1362" s="1222"/>
    </row>
    <row r="1363" spans="2:17" x14ac:dyDescent="0.4">
      <c r="B1363" s="130"/>
      <c r="C1363" s="611">
        <v>966</v>
      </c>
      <c r="D1363" s="656" t="e">
        <f t="shared" ca="1" si="99"/>
        <v>#N/A</v>
      </c>
      <c r="E1363" s="620"/>
      <c r="F1363" s="620"/>
      <c r="G1363" s="620"/>
      <c r="H1363" s="620"/>
      <c r="I1363" s="620"/>
      <c r="J1363" s="620"/>
      <c r="K1363" s="570"/>
      <c r="O1363" s="1223"/>
      <c r="Q1363" s="1222"/>
    </row>
    <row r="1364" spans="2:17" x14ac:dyDescent="0.4">
      <c r="B1364" s="130"/>
      <c r="C1364" s="611">
        <v>967</v>
      </c>
      <c r="D1364" s="656" t="e">
        <f t="shared" ca="1" si="99"/>
        <v>#N/A</v>
      </c>
      <c r="E1364" s="620"/>
      <c r="F1364" s="620"/>
      <c r="G1364" s="620"/>
      <c r="H1364" s="620"/>
      <c r="I1364" s="620"/>
      <c r="J1364" s="620"/>
      <c r="K1364" s="570"/>
      <c r="O1364" s="1223"/>
      <c r="Q1364" s="1222"/>
    </row>
    <row r="1365" spans="2:17" x14ac:dyDescent="0.4">
      <c r="B1365" s="130"/>
      <c r="C1365" s="611">
        <v>968</v>
      </c>
      <c r="D1365" s="656" t="e">
        <f t="shared" ca="1" si="99"/>
        <v>#N/A</v>
      </c>
      <c r="E1365" s="620"/>
      <c r="F1365" s="620"/>
      <c r="G1365" s="620"/>
      <c r="H1365" s="620"/>
      <c r="I1365" s="620"/>
      <c r="J1365" s="620"/>
      <c r="K1365" s="570"/>
      <c r="O1365" s="1223"/>
      <c r="Q1365" s="1222"/>
    </row>
    <row r="1366" spans="2:17" x14ac:dyDescent="0.4">
      <c r="B1366" s="130"/>
      <c r="C1366" s="611">
        <v>969</v>
      </c>
      <c r="D1366" s="656" t="e">
        <f t="shared" ca="1" si="99"/>
        <v>#N/A</v>
      </c>
      <c r="E1366" s="620"/>
      <c r="F1366" s="620"/>
      <c r="G1366" s="620"/>
      <c r="H1366" s="620"/>
      <c r="I1366" s="620"/>
      <c r="J1366" s="620"/>
      <c r="K1366" s="570"/>
      <c r="O1366" s="1223"/>
      <c r="Q1366" s="1222"/>
    </row>
    <row r="1367" spans="2:17" x14ac:dyDescent="0.4">
      <c r="B1367" s="130"/>
      <c r="C1367" s="611">
        <v>970</v>
      </c>
      <c r="D1367" s="656" t="e">
        <f t="shared" ca="1" si="99"/>
        <v>#N/A</v>
      </c>
      <c r="E1367" s="620"/>
      <c r="F1367" s="620"/>
      <c r="G1367" s="620"/>
      <c r="H1367" s="620"/>
      <c r="I1367" s="620"/>
      <c r="J1367" s="620"/>
      <c r="K1367" s="570"/>
      <c r="O1367" s="1223"/>
      <c r="Q1367" s="1222"/>
    </row>
    <row r="1368" spans="2:17" x14ac:dyDescent="0.4">
      <c r="B1368" s="130"/>
      <c r="C1368" s="611">
        <v>971</v>
      </c>
      <c r="D1368" s="656" t="e">
        <f t="shared" ca="1" si="99"/>
        <v>#N/A</v>
      </c>
      <c r="E1368" s="620"/>
      <c r="F1368" s="620"/>
      <c r="G1368" s="620"/>
      <c r="H1368" s="620"/>
      <c r="I1368" s="620"/>
      <c r="J1368" s="620"/>
      <c r="K1368" s="570"/>
      <c r="O1368" s="1223"/>
      <c r="Q1368" s="1222"/>
    </row>
    <row r="1369" spans="2:17" x14ac:dyDescent="0.4">
      <c r="B1369" s="130"/>
      <c r="C1369" s="611">
        <v>972</v>
      </c>
      <c r="D1369" s="656" t="e">
        <f t="shared" ca="1" si="99"/>
        <v>#N/A</v>
      </c>
      <c r="E1369" s="620"/>
      <c r="F1369" s="620"/>
      <c r="G1369" s="620"/>
      <c r="H1369" s="620"/>
      <c r="I1369" s="620"/>
      <c r="J1369" s="620"/>
      <c r="K1369" s="570"/>
      <c r="O1369" s="1223"/>
      <c r="Q1369" s="1222"/>
    </row>
    <row r="1370" spans="2:17" x14ac:dyDescent="0.4">
      <c r="B1370" s="130"/>
      <c r="C1370" s="611">
        <v>973</v>
      </c>
      <c r="D1370" s="656" t="e">
        <f t="shared" ca="1" si="99"/>
        <v>#N/A</v>
      </c>
      <c r="E1370" s="620"/>
      <c r="F1370" s="620"/>
      <c r="G1370" s="620"/>
      <c r="H1370" s="620"/>
      <c r="I1370" s="620"/>
      <c r="J1370" s="620"/>
      <c r="K1370" s="570"/>
      <c r="O1370" s="1223"/>
      <c r="Q1370" s="1222"/>
    </row>
    <row r="1371" spans="2:17" x14ac:dyDescent="0.4">
      <c r="B1371" s="130"/>
      <c r="C1371" s="611">
        <v>974</v>
      </c>
      <c r="D1371" s="656" t="e">
        <f t="shared" ca="1" si="99"/>
        <v>#N/A</v>
      </c>
      <c r="E1371" s="620"/>
      <c r="F1371" s="620"/>
      <c r="G1371" s="620"/>
      <c r="H1371" s="620"/>
      <c r="I1371" s="620"/>
      <c r="J1371" s="620"/>
      <c r="K1371" s="570"/>
      <c r="O1371" s="1223"/>
      <c r="Q1371" s="1222"/>
    </row>
    <row r="1372" spans="2:17" x14ac:dyDescent="0.4">
      <c r="B1372" s="130"/>
      <c r="C1372" s="611">
        <v>975</v>
      </c>
      <c r="D1372" s="656" t="e">
        <f t="shared" ca="1" si="99"/>
        <v>#N/A</v>
      </c>
      <c r="E1372" s="620"/>
      <c r="F1372" s="620"/>
      <c r="G1372" s="620"/>
      <c r="H1372" s="620"/>
      <c r="I1372" s="620"/>
      <c r="J1372" s="620"/>
      <c r="K1372" s="570"/>
      <c r="O1372" s="1223"/>
      <c r="Q1372" s="1222"/>
    </row>
    <row r="1373" spans="2:17" x14ac:dyDescent="0.4">
      <c r="B1373" s="130"/>
      <c r="C1373" s="611">
        <v>976</v>
      </c>
      <c r="D1373" s="656" t="e">
        <f t="shared" ca="1" si="99"/>
        <v>#N/A</v>
      </c>
      <c r="E1373" s="620"/>
      <c r="F1373" s="620"/>
      <c r="G1373" s="620"/>
      <c r="H1373" s="620"/>
      <c r="I1373" s="620"/>
      <c r="J1373" s="620"/>
      <c r="K1373" s="570"/>
      <c r="O1373" s="1223"/>
      <c r="Q1373" s="1222"/>
    </row>
    <row r="1374" spans="2:17" x14ac:dyDescent="0.4">
      <c r="B1374" s="130"/>
      <c r="C1374" s="611">
        <v>977</v>
      </c>
      <c r="D1374" s="656" t="e">
        <f t="shared" ca="1" si="99"/>
        <v>#N/A</v>
      </c>
      <c r="E1374" s="620"/>
      <c r="F1374" s="620"/>
      <c r="G1374" s="620"/>
      <c r="H1374" s="620"/>
      <c r="I1374" s="620"/>
      <c r="J1374" s="620"/>
      <c r="K1374" s="570"/>
      <c r="O1374" s="1223"/>
      <c r="Q1374" s="1222"/>
    </row>
    <row r="1375" spans="2:17" x14ac:dyDescent="0.4">
      <c r="B1375" s="130"/>
      <c r="C1375" s="611">
        <v>978</v>
      </c>
      <c r="D1375" s="656" t="e">
        <f t="shared" ca="1" si="99"/>
        <v>#N/A</v>
      </c>
      <c r="E1375" s="620"/>
      <c r="F1375" s="620"/>
      <c r="G1375" s="620"/>
      <c r="H1375" s="620"/>
      <c r="I1375" s="620"/>
      <c r="J1375" s="620"/>
      <c r="K1375" s="570"/>
      <c r="O1375" s="1223"/>
      <c r="Q1375" s="1222"/>
    </row>
    <row r="1376" spans="2:17" x14ac:dyDescent="0.4">
      <c r="B1376" s="130"/>
      <c r="C1376" s="611">
        <v>979</v>
      </c>
      <c r="D1376" s="656" t="e">
        <f t="shared" ca="1" si="99"/>
        <v>#N/A</v>
      </c>
      <c r="E1376" s="620"/>
      <c r="F1376" s="620"/>
      <c r="G1376" s="620"/>
      <c r="H1376" s="620"/>
      <c r="I1376" s="620"/>
      <c r="J1376" s="620"/>
      <c r="K1376" s="570"/>
      <c r="O1376" s="1223"/>
      <c r="Q1376" s="1222"/>
    </row>
    <row r="1377" spans="2:17" x14ac:dyDescent="0.4">
      <c r="B1377" s="130"/>
      <c r="C1377" s="611">
        <v>980</v>
      </c>
      <c r="D1377" s="656" t="e">
        <f t="shared" ca="1" si="99"/>
        <v>#N/A</v>
      </c>
      <c r="E1377" s="620"/>
      <c r="F1377" s="620"/>
      <c r="G1377" s="620"/>
      <c r="H1377" s="620"/>
      <c r="I1377" s="620"/>
      <c r="J1377" s="620"/>
      <c r="K1377" s="570"/>
      <c r="O1377" s="1223"/>
      <c r="Q1377" s="1222"/>
    </row>
    <row r="1378" spans="2:17" x14ac:dyDescent="0.4">
      <c r="B1378" s="130"/>
      <c r="C1378" s="611">
        <v>981</v>
      </c>
      <c r="D1378" s="656" t="e">
        <f t="shared" ca="1" si="99"/>
        <v>#N/A</v>
      </c>
      <c r="E1378" s="620"/>
      <c r="F1378" s="620"/>
      <c r="G1378" s="620"/>
      <c r="H1378" s="620"/>
      <c r="I1378" s="620"/>
      <c r="J1378" s="620"/>
      <c r="K1378" s="570"/>
      <c r="O1378" s="1223"/>
      <c r="Q1378" s="1222"/>
    </row>
    <row r="1379" spans="2:17" x14ac:dyDescent="0.4">
      <c r="B1379" s="130"/>
      <c r="C1379" s="611">
        <v>982</v>
      </c>
      <c r="D1379" s="656" t="e">
        <f t="shared" ca="1" si="99"/>
        <v>#N/A</v>
      </c>
      <c r="E1379" s="620"/>
      <c r="F1379" s="620"/>
      <c r="G1379" s="620"/>
      <c r="H1379" s="620"/>
      <c r="I1379" s="620"/>
      <c r="J1379" s="620"/>
      <c r="K1379" s="570"/>
      <c r="O1379" s="1223"/>
      <c r="Q1379" s="1222"/>
    </row>
    <row r="1380" spans="2:17" x14ac:dyDescent="0.4">
      <c r="B1380" s="130"/>
      <c r="C1380" s="611">
        <v>983</v>
      </c>
      <c r="D1380" s="656" t="e">
        <f t="shared" ca="1" si="99"/>
        <v>#N/A</v>
      </c>
      <c r="E1380" s="620"/>
      <c r="F1380" s="620"/>
      <c r="G1380" s="620"/>
      <c r="H1380" s="620"/>
      <c r="I1380" s="620"/>
      <c r="J1380" s="620"/>
      <c r="K1380" s="570"/>
      <c r="O1380" s="1223"/>
      <c r="Q1380" s="1222"/>
    </row>
    <row r="1381" spans="2:17" x14ac:dyDescent="0.4">
      <c r="B1381" s="130"/>
      <c r="C1381" s="611">
        <v>984</v>
      </c>
      <c r="D1381" s="656" t="e">
        <f t="shared" ca="1" si="99"/>
        <v>#N/A</v>
      </c>
      <c r="E1381" s="620"/>
      <c r="F1381" s="620"/>
      <c r="G1381" s="620"/>
      <c r="H1381" s="620"/>
      <c r="I1381" s="620"/>
      <c r="J1381" s="620"/>
      <c r="K1381" s="570"/>
      <c r="O1381" s="1223"/>
      <c r="Q1381" s="1222"/>
    </row>
    <row r="1382" spans="2:17" x14ac:dyDescent="0.4">
      <c r="B1382" s="130"/>
      <c r="C1382" s="611">
        <v>985</v>
      </c>
      <c r="D1382" s="656" t="e">
        <f t="shared" ca="1" si="99"/>
        <v>#N/A</v>
      </c>
      <c r="E1382" s="620"/>
      <c r="F1382" s="620"/>
      <c r="G1382" s="620"/>
      <c r="H1382" s="620"/>
      <c r="I1382" s="620"/>
      <c r="J1382" s="620"/>
      <c r="K1382" s="570"/>
      <c r="O1382" s="1223"/>
      <c r="Q1382" s="1222"/>
    </row>
    <row r="1383" spans="2:17" x14ac:dyDescent="0.4">
      <c r="B1383" s="130"/>
      <c r="C1383" s="611">
        <v>986</v>
      </c>
      <c r="D1383" s="656" t="e">
        <f t="shared" ca="1" si="99"/>
        <v>#N/A</v>
      </c>
      <c r="E1383" s="620"/>
      <c r="F1383" s="620"/>
      <c r="G1383" s="620"/>
      <c r="H1383" s="620"/>
      <c r="I1383" s="620"/>
      <c r="J1383" s="620"/>
      <c r="K1383" s="570"/>
      <c r="O1383" s="1223"/>
      <c r="Q1383" s="1222"/>
    </row>
    <row r="1384" spans="2:17" x14ac:dyDescent="0.4">
      <c r="B1384" s="130"/>
      <c r="C1384" s="611">
        <v>987</v>
      </c>
      <c r="D1384" s="656" t="e">
        <f t="shared" ca="1" si="99"/>
        <v>#N/A</v>
      </c>
      <c r="E1384" s="620"/>
      <c r="F1384" s="620"/>
      <c r="G1384" s="620"/>
      <c r="H1384" s="620"/>
      <c r="I1384" s="620"/>
      <c r="J1384" s="620"/>
      <c r="K1384" s="570"/>
      <c r="O1384" s="1223"/>
      <c r="Q1384" s="1222"/>
    </row>
    <row r="1385" spans="2:17" x14ac:dyDescent="0.4">
      <c r="B1385" s="130"/>
      <c r="C1385" s="611">
        <v>988</v>
      </c>
      <c r="D1385" s="656" t="e">
        <f t="shared" ca="1" si="99"/>
        <v>#N/A</v>
      </c>
      <c r="E1385" s="620"/>
      <c r="F1385" s="620"/>
      <c r="G1385" s="620"/>
      <c r="H1385" s="620"/>
      <c r="I1385" s="620"/>
      <c r="J1385" s="620"/>
      <c r="K1385" s="570"/>
      <c r="O1385" s="1223"/>
      <c r="Q1385" s="1222"/>
    </row>
    <row r="1386" spans="2:17" x14ac:dyDescent="0.4">
      <c r="B1386" s="130"/>
      <c r="C1386" s="611">
        <v>989</v>
      </c>
      <c r="D1386" s="656" t="e">
        <f t="shared" ca="1" si="99"/>
        <v>#N/A</v>
      </c>
      <c r="E1386" s="620"/>
      <c r="F1386" s="620"/>
      <c r="G1386" s="620"/>
      <c r="H1386" s="620"/>
      <c r="I1386" s="620"/>
      <c r="J1386" s="620"/>
      <c r="K1386" s="570"/>
      <c r="O1386" s="1223"/>
      <c r="Q1386" s="1222"/>
    </row>
    <row r="1387" spans="2:17" x14ac:dyDescent="0.4">
      <c r="B1387" s="130"/>
      <c r="C1387" s="611">
        <v>990</v>
      </c>
      <c r="D1387" s="656" t="e">
        <f t="shared" ca="1" si="99"/>
        <v>#N/A</v>
      </c>
      <c r="E1387" s="620"/>
      <c r="F1387" s="620"/>
      <c r="G1387" s="620"/>
      <c r="H1387" s="620"/>
      <c r="I1387" s="620"/>
      <c r="J1387" s="620"/>
      <c r="K1387" s="570"/>
      <c r="O1387" s="1223"/>
      <c r="Q1387" s="1222"/>
    </row>
    <row r="1388" spans="2:17" x14ac:dyDescent="0.4">
      <c r="B1388" s="130"/>
      <c r="C1388" s="611">
        <v>991</v>
      </c>
      <c r="D1388" s="656" t="e">
        <f t="shared" ca="1" si="99"/>
        <v>#N/A</v>
      </c>
      <c r="E1388" s="620"/>
      <c r="F1388" s="620"/>
      <c r="G1388" s="620"/>
      <c r="H1388" s="620"/>
      <c r="I1388" s="620"/>
      <c r="J1388" s="620"/>
      <c r="K1388" s="570"/>
      <c r="O1388" s="1223"/>
      <c r="Q1388" s="1222"/>
    </row>
    <row r="1389" spans="2:17" x14ac:dyDescent="0.4">
      <c r="B1389" s="130"/>
      <c r="C1389" s="611">
        <v>992</v>
      </c>
      <c r="D1389" s="656" t="e">
        <f t="shared" ca="1" si="99"/>
        <v>#N/A</v>
      </c>
      <c r="E1389" s="620"/>
      <c r="F1389" s="620"/>
      <c r="G1389" s="620"/>
      <c r="H1389" s="620"/>
      <c r="I1389" s="620"/>
      <c r="J1389" s="620"/>
      <c r="K1389" s="570"/>
      <c r="O1389" s="1223"/>
      <c r="Q1389" s="1222"/>
    </row>
    <row r="1390" spans="2:17" x14ac:dyDescent="0.4">
      <c r="B1390" s="130"/>
      <c r="C1390" s="611">
        <v>993</v>
      </c>
      <c r="D1390" s="656" t="e">
        <f t="shared" ca="1" si="99"/>
        <v>#N/A</v>
      </c>
      <c r="E1390" s="620"/>
      <c r="F1390" s="620"/>
      <c r="G1390" s="620"/>
      <c r="H1390" s="620"/>
      <c r="I1390" s="620"/>
      <c r="J1390" s="620"/>
      <c r="K1390" s="570"/>
      <c r="O1390" s="1223"/>
      <c r="Q1390" s="1222"/>
    </row>
    <row r="1391" spans="2:17" x14ac:dyDescent="0.4">
      <c r="B1391" s="130"/>
      <c r="C1391" s="611">
        <v>994</v>
      </c>
      <c r="D1391" s="656" t="e">
        <f t="shared" ca="1" si="99"/>
        <v>#N/A</v>
      </c>
      <c r="E1391" s="620"/>
      <c r="F1391" s="620"/>
      <c r="G1391" s="620"/>
      <c r="H1391" s="620"/>
      <c r="I1391" s="620"/>
      <c r="J1391" s="620"/>
      <c r="K1391" s="570"/>
      <c r="O1391" s="1223"/>
      <c r="Q1391" s="1222"/>
    </row>
    <row r="1392" spans="2:17" x14ac:dyDescent="0.4">
      <c r="B1392" s="130"/>
      <c r="C1392" s="611">
        <v>995</v>
      </c>
      <c r="D1392" s="656" t="e">
        <f t="shared" ca="1" si="99"/>
        <v>#N/A</v>
      </c>
      <c r="E1392" s="620"/>
      <c r="F1392" s="620"/>
      <c r="G1392" s="620"/>
      <c r="H1392" s="620"/>
      <c r="I1392" s="620"/>
      <c r="J1392" s="620"/>
      <c r="K1392" s="570"/>
      <c r="O1392" s="1223"/>
      <c r="Q1392" s="1222"/>
    </row>
    <row r="1393" spans="1:17" x14ac:dyDescent="0.4">
      <c r="B1393" s="130"/>
      <c r="C1393" s="611">
        <v>996</v>
      </c>
      <c r="D1393" s="656" t="e">
        <f t="shared" ca="1" si="99"/>
        <v>#N/A</v>
      </c>
      <c r="E1393" s="620"/>
      <c r="F1393" s="620"/>
      <c r="G1393" s="620"/>
      <c r="H1393" s="620"/>
      <c r="I1393" s="620"/>
      <c r="J1393" s="620"/>
      <c r="K1393" s="570"/>
      <c r="O1393" s="1223"/>
      <c r="Q1393" s="1222"/>
    </row>
    <row r="1394" spans="1:17" x14ac:dyDescent="0.4">
      <c r="B1394" s="130"/>
      <c r="C1394" s="611">
        <v>997</v>
      </c>
      <c r="D1394" s="656" t="e">
        <f t="shared" ca="1" si="99"/>
        <v>#N/A</v>
      </c>
      <c r="E1394" s="620"/>
      <c r="F1394" s="620"/>
      <c r="G1394" s="620"/>
      <c r="H1394" s="620"/>
      <c r="I1394" s="620"/>
      <c r="J1394" s="620"/>
      <c r="K1394" s="570"/>
      <c r="O1394" s="1223"/>
      <c r="Q1394" s="1222"/>
    </row>
    <row r="1395" spans="1:17" x14ac:dyDescent="0.4">
      <c r="B1395" s="130"/>
      <c r="C1395" s="611">
        <v>998</v>
      </c>
      <c r="D1395" s="656" t="e">
        <f t="shared" ca="1" si="99"/>
        <v>#N/A</v>
      </c>
      <c r="E1395" s="620"/>
      <c r="F1395" s="620"/>
      <c r="G1395" s="620"/>
      <c r="H1395" s="620"/>
      <c r="I1395" s="620"/>
      <c r="J1395" s="620"/>
      <c r="K1395" s="570"/>
      <c r="O1395" s="1223"/>
      <c r="Q1395" s="1222"/>
    </row>
    <row r="1396" spans="1:17" x14ac:dyDescent="0.4">
      <c r="B1396" s="130"/>
      <c r="C1396" s="611">
        <v>999</v>
      </c>
      <c r="D1396" s="656" t="e">
        <f t="shared" ca="1" si="99"/>
        <v>#N/A</v>
      </c>
      <c r="E1396" s="620"/>
      <c r="F1396" s="620"/>
      <c r="G1396" s="620"/>
      <c r="H1396" s="620"/>
      <c r="I1396" s="620"/>
      <c r="J1396" s="620"/>
      <c r="K1396" s="570"/>
      <c r="O1396" s="1223"/>
      <c r="Q1396" s="1222"/>
    </row>
    <row r="1397" spans="1:17" ht="16" thickBot="1" x14ac:dyDescent="0.45">
      <c r="B1397" s="130"/>
      <c r="C1397" s="621">
        <v>1000</v>
      </c>
      <c r="D1397" s="657" t="e">
        <f t="shared" ca="1" si="99"/>
        <v>#N/A</v>
      </c>
      <c r="E1397" s="623"/>
      <c r="F1397" s="623"/>
      <c r="G1397" s="623"/>
      <c r="H1397" s="623"/>
      <c r="I1397" s="623"/>
      <c r="J1397" s="623"/>
      <c r="K1397" s="575"/>
      <c r="O1397" s="1223"/>
      <c r="Q1397" s="1222"/>
    </row>
    <row r="1398" spans="1:17" x14ac:dyDescent="0.4">
      <c r="B1398" s="130"/>
      <c r="C1398" s="130"/>
      <c r="D1398" s="130"/>
      <c r="E1398" s="620"/>
      <c r="F1398" s="620"/>
      <c r="G1398" s="620"/>
      <c r="H1398" s="620"/>
      <c r="I1398" s="620"/>
      <c r="J1398" s="620"/>
      <c r="K1398" s="126"/>
      <c r="O1398" s="1223"/>
      <c r="Q1398" s="1222"/>
    </row>
    <row r="1399" spans="1:17" x14ac:dyDescent="0.4">
      <c r="A1399" s="131"/>
      <c r="B1399" s="141"/>
      <c r="C1399" s="142"/>
      <c r="D1399" s="143"/>
      <c r="E1399" s="141"/>
      <c r="F1399" s="294"/>
      <c r="G1399" s="293"/>
      <c r="H1399" s="294"/>
      <c r="I1399" s="144"/>
      <c r="J1399" s="131"/>
      <c r="K1399" s="131"/>
      <c r="L1399" s="145"/>
      <c r="M1399" s="131"/>
      <c r="N1399" s="131"/>
      <c r="O1399" s="131"/>
      <c r="P1399" s="1222"/>
      <c r="Q1399" s="1222"/>
    </row>
  </sheetData>
  <sheetProtection algorithmName="SHA-512" hashValue="iMkfLwyzvoMOl1RnrVi1HiC1rNes4quDyAQ9vvpZwfKM5Fn4hz/rtUpKiHmFJJjWB5TtJamrhfVdPCx3+yNAgw==" saltValue="skx0gaDLnhEXxJ5Y0Hh5oA==" spinCount="100000" sheet="1" selectLockedCells="1"/>
  <mergeCells count="49">
    <mergeCell ref="B170:L170"/>
    <mergeCell ref="G365:K365"/>
    <mergeCell ref="G368:K368"/>
    <mergeCell ref="G370:K370"/>
    <mergeCell ref="G369:K369"/>
    <mergeCell ref="F257:J257"/>
    <mergeCell ref="F258:J258"/>
    <mergeCell ref="F256:J256"/>
    <mergeCell ref="F247:J247"/>
    <mergeCell ref="F248:J248"/>
    <mergeCell ref="F249:J249"/>
    <mergeCell ref="F245:J245"/>
    <mergeCell ref="G374:K374"/>
    <mergeCell ref="G373:K373"/>
    <mergeCell ref="G367:K367"/>
    <mergeCell ref="G366:K366"/>
    <mergeCell ref="G372:K372"/>
    <mergeCell ref="G376:K376"/>
    <mergeCell ref="G375:K375"/>
    <mergeCell ref="B2:C2"/>
    <mergeCell ref="B12:B13"/>
    <mergeCell ref="C12:C13"/>
    <mergeCell ref="E12:E13"/>
    <mergeCell ref="D3:E3"/>
    <mergeCell ref="G4:H4"/>
    <mergeCell ref="D12:D13"/>
    <mergeCell ref="J12:K12"/>
    <mergeCell ref="H12:I12"/>
    <mergeCell ref="F12:F13"/>
    <mergeCell ref="G12:G13"/>
    <mergeCell ref="F254:J254"/>
    <mergeCell ref="F255:J255"/>
    <mergeCell ref="G371:K371"/>
    <mergeCell ref="L12:L13"/>
    <mergeCell ref="G379:H379"/>
    <mergeCell ref="G388:H388"/>
    <mergeCell ref="C364:K364"/>
    <mergeCell ref="F238:J238"/>
    <mergeCell ref="F239:J239"/>
    <mergeCell ref="F242:J242"/>
    <mergeCell ref="F243:J243"/>
    <mergeCell ref="F244:J244"/>
    <mergeCell ref="F246:J246"/>
    <mergeCell ref="F240:J240"/>
    <mergeCell ref="F241:J241"/>
    <mergeCell ref="F253:J253"/>
    <mergeCell ref="F250:J250"/>
    <mergeCell ref="F251:J251"/>
    <mergeCell ref="F252:J252"/>
  </mergeCells>
  <phoneticPr fontId="29" type="noConversion"/>
  <hyperlinks>
    <hyperlink ref="G4" location="Instructions!C33" display="Back to Instructions tab" xr:uid="{00000000-0004-0000-0A00-000000000000}"/>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showInputMessage="1" showErrorMessage="1" xr:uid="{83EB4F4D-73B1-4A9F-93B0-4A8D48726543}">
          <x14:formula1>
            <xm:f>'Drop-Downs and Tables'!$B$92:$B$94</xm:f>
          </x14:formula1>
          <xm:sqref>F30 H30:I30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rgb="FF0070C0"/>
  </sheetPr>
  <dimension ref="A1:Q224"/>
  <sheetViews>
    <sheetView showGridLines="0" zoomScale="70" zoomScaleNormal="70" workbookViewId="0">
      <selection activeCell="H4" sqref="H4:J4"/>
    </sheetView>
  </sheetViews>
  <sheetFormatPr defaultColWidth="9" defaultRowHeight="15.5" x14ac:dyDescent="0.4"/>
  <cols>
    <col min="1" max="1" width="3.6328125" style="134" customWidth="1"/>
    <col min="2" max="2" width="28.90625" style="134" customWidth="1"/>
    <col min="3" max="3" width="49.90625" style="134" customWidth="1"/>
    <col min="4" max="4" width="14.08984375" style="134" customWidth="1"/>
    <col min="5" max="5" width="20.26953125" style="134" customWidth="1"/>
    <col min="6" max="6" width="13.26953125" style="134" customWidth="1"/>
    <col min="7" max="7" width="12.7265625" style="134" customWidth="1"/>
    <col min="8" max="8" width="9" style="134"/>
    <col min="9" max="9" width="12.36328125" style="134" customWidth="1"/>
    <col min="10" max="10" width="13.36328125" style="134" customWidth="1"/>
    <col min="11" max="11" width="9" style="134" customWidth="1"/>
    <col min="12" max="12" width="24.90625" style="134" customWidth="1"/>
    <col min="13" max="13" width="26" style="134" customWidth="1"/>
    <col min="14" max="14" width="20.36328125" style="134" customWidth="1"/>
    <col min="15" max="15" width="12.36328125" style="134" customWidth="1"/>
    <col min="16" max="16" width="4.7265625" style="134" customWidth="1"/>
    <col min="17" max="17" width="4.08984375" style="134" customWidth="1"/>
    <col min="18" max="16384" width="9" style="134"/>
  </cols>
  <sheetData>
    <row r="1" spans="2:17" ht="16" thickBot="1" x14ac:dyDescent="0.45">
      <c r="Q1" s="158"/>
    </row>
    <row r="2" spans="2:17" ht="16" thickBot="1" x14ac:dyDescent="0.45">
      <c r="B2" s="1540" t="s">
        <v>236</v>
      </c>
      <c r="C2" s="1541"/>
      <c r="D2" s="239"/>
      <c r="E2" s="239"/>
      <c r="F2" s="239"/>
      <c r="Q2" s="158"/>
    </row>
    <row r="3" spans="2:17" ht="17.25" customHeight="1" x14ac:dyDescent="0.4">
      <c r="B3" s="315" t="s">
        <v>237</v>
      </c>
      <c r="C3" s="316" t="str">
        <f>'Version Control'!C3</f>
        <v>Consumer Boiler</v>
      </c>
      <c r="D3" s="1549"/>
      <c r="E3" s="1549"/>
      <c r="F3" s="1549"/>
      <c r="Q3" s="158"/>
    </row>
    <row r="4" spans="2:17" ht="17" x14ac:dyDescent="0.4">
      <c r="B4" s="317" t="s">
        <v>119</v>
      </c>
      <c r="C4" s="318" t="str">
        <f>'Version Control'!C4</f>
        <v>v1.1</v>
      </c>
      <c r="D4" s="243"/>
      <c r="E4" s="178"/>
      <c r="F4" s="243"/>
      <c r="H4" s="1548" t="s">
        <v>126</v>
      </c>
      <c r="I4" s="1548"/>
      <c r="J4" s="1548"/>
      <c r="Q4" s="158"/>
    </row>
    <row r="5" spans="2:17" x14ac:dyDescent="0.4">
      <c r="B5" s="317" t="s">
        <v>120</v>
      </c>
      <c r="C5" s="319">
        <f>'Version Control'!C5</f>
        <v>43721</v>
      </c>
      <c r="D5" s="240"/>
      <c r="E5" s="178"/>
      <c r="F5" s="243"/>
      <c r="Q5" s="158"/>
    </row>
    <row r="6" spans="2:17" x14ac:dyDescent="0.4">
      <c r="B6" s="320" t="s">
        <v>118</v>
      </c>
      <c r="C6" s="321" t="str">
        <f ca="1">MID(CELL("filename",A1), FIND("]", CELL("filename", A1))+ 1, 255)</f>
        <v>Photos</v>
      </c>
      <c r="D6" s="242"/>
      <c r="E6" s="178"/>
      <c r="F6" s="243"/>
      <c r="Q6" s="158"/>
    </row>
    <row r="7" spans="2:17" x14ac:dyDescent="0.4">
      <c r="B7" s="322" t="s">
        <v>117</v>
      </c>
      <c r="C7" s="323" t="str">
        <f ca="1">'Version Control'!C7</f>
        <v>Consumer Boiler - v1.1.xlsx</v>
      </c>
      <c r="D7" s="242"/>
      <c r="E7" s="178"/>
      <c r="F7" s="243"/>
      <c r="Q7" s="158"/>
    </row>
    <row r="8" spans="2:17" ht="16" thickBot="1" x14ac:dyDescent="0.45">
      <c r="B8" s="324" t="s">
        <v>121</v>
      </c>
      <c r="C8" s="325">
        <f>'Version Control'!C8</f>
        <v>0</v>
      </c>
      <c r="D8" s="210"/>
      <c r="E8" s="162"/>
      <c r="F8" s="211"/>
      <c r="Q8" s="158"/>
    </row>
    <row r="9" spans="2:17" x14ac:dyDescent="0.4">
      <c r="B9" s="133"/>
      <c r="C9" s="133"/>
      <c r="D9" s="133"/>
      <c r="E9" s="133"/>
      <c r="F9" s="133"/>
      <c r="G9" s="133"/>
      <c r="H9" s="133"/>
      <c r="I9" s="133"/>
      <c r="J9" s="133"/>
      <c r="K9" s="133"/>
      <c r="L9" s="133"/>
      <c r="M9" s="133"/>
      <c r="N9" s="133"/>
      <c r="O9" s="133"/>
      <c r="Q9" s="158"/>
    </row>
    <row r="10" spans="2:17" ht="16" thickBot="1" x14ac:dyDescent="0.45">
      <c r="B10" s="133"/>
      <c r="C10" s="133"/>
      <c r="D10" s="133"/>
      <c r="E10" s="133"/>
      <c r="F10" s="133"/>
      <c r="G10" s="133"/>
      <c r="H10" s="133"/>
      <c r="I10" s="133"/>
      <c r="J10" s="133"/>
      <c r="K10" s="133"/>
      <c r="L10" s="133"/>
      <c r="M10" s="133"/>
      <c r="N10" s="133"/>
      <c r="O10" s="133"/>
      <c r="Q10" s="158"/>
    </row>
    <row r="11" spans="2:17" ht="16" thickBot="1" x14ac:dyDescent="0.45">
      <c r="B11" s="148" t="s">
        <v>171</v>
      </c>
      <c r="C11" s="149"/>
      <c r="D11" s="149"/>
      <c r="E11" s="149"/>
      <c r="F11" s="149"/>
      <c r="G11" s="149"/>
      <c r="H11" s="149"/>
      <c r="I11" s="149"/>
      <c r="J11" s="149"/>
      <c r="K11" s="149"/>
      <c r="L11" s="149"/>
      <c r="M11" s="149"/>
      <c r="N11" s="149"/>
      <c r="O11" s="132"/>
      <c r="Q11" s="158"/>
    </row>
    <row r="12" spans="2:17" x14ac:dyDescent="0.4">
      <c r="B12" s="1542"/>
      <c r="C12" s="1543"/>
      <c r="D12" s="1543"/>
      <c r="E12" s="1543"/>
      <c r="F12" s="1543"/>
      <c r="G12" s="1543"/>
      <c r="H12" s="1543"/>
      <c r="I12" s="1543"/>
      <c r="J12" s="1543"/>
      <c r="K12" s="1543"/>
      <c r="L12" s="1543"/>
      <c r="M12" s="1543"/>
      <c r="N12" s="1543"/>
      <c r="O12" s="1544"/>
      <c r="Q12" s="158"/>
    </row>
    <row r="13" spans="2:17" x14ac:dyDescent="0.4">
      <c r="B13" s="1542"/>
      <c r="C13" s="1543"/>
      <c r="D13" s="1543"/>
      <c r="E13" s="1543"/>
      <c r="F13" s="1543"/>
      <c r="G13" s="1543"/>
      <c r="H13" s="1543"/>
      <c r="I13" s="1543"/>
      <c r="J13" s="1543"/>
      <c r="K13" s="1543"/>
      <c r="L13" s="1543"/>
      <c r="M13" s="1543"/>
      <c r="N13" s="1543"/>
      <c r="O13" s="1544"/>
      <c r="Q13" s="158"/>
    </row>
    <row r="14" spans="2:17" x14ac:dyDescent="0.4">
      <c r="B14" s="1542"/>
      <c r="C14" s="1543"/>
      <c r="D14" s="1543"/>
      <c r="E14" s="1543"/>
      <c r="F14" s="1543"/>
      <c r="G14" s="1543"/>
      <c r="H14" s="1543"/>
      <c r="I14" s="1543"/>
      <c r="J14" s="1543"/>
      <c r="K14" s="1543"/>
      <c r="L14" s="1543"/>
      <c r="M14" s="1543"/>
      <c r="N14" s="1543"/>
      <c r="O14" s="1544"/>
      <c r="Q14" s="158"/>
    </row>
    <row r="15" spans="2:17" x14ac:dyDescent="0.4">
      <c r="B15" s="1542"/>
      <c r="C15" s="1543"/>
      <c r="D15" s="1543"/>
      <c r="E15" s="1543"/>
      <c r="F15" s="1543"/>
      <c r="G15" s="1543"/>
      <c r="H15" s="1543"/>
      <c r="I15" s="1543"/>
      <c r="J15" s="1543"/>
      <c r="K15" s="1543"/>
      <c r="L15" s="1543"/>
      <c r="M15" s="1543"/>
      <c r="N15" s="1543"/>
      <c r="O15" s="1544"/>
      <c r="Q15" s="158"/>
    </row>
    <row r="16" spans="2:17" x14ac:dyDescent="0.4">
      <c r="B16" s="1542"/>
      <c r="C16" s="1543"/>
      <c r="D16" s="1543"/>
      <c r="E16" s="1543"/>
      <c r="F16" s="1543"/>
      <c r="G16" s="1543"/>
      <c r="H16" s="1543"/>
      <c r="I16" s="1543"/>
      <c r="J16" s="1543"/>
      <c r="K16" s="1543"/>
      <c r="L16" s="1543"/>
      <c r="M16" s="1543"/>
      <c r="N16" s="1543"/>
      <c r="O16" s="1544"/>
      <c r="Q16" s="158"/>
    </row>
    <row r="17" spans="2:17" x14ac:dyDescent="0.4">
      <c r="B17" s="1542"/>
      <c r="C17" s="1543"/>
      <c r="D17" s="1543"/>
      <c r="E17" s="1543"/>
      <c r="F17" s="1543"/>
      <c r="G17" s="1543"/>
      <c r="H17" s="1543"/>
      <c r="I17" s="1543"/>
      <c r="J17" s="1543"/>
      <c r="K17" s="1543"/>
      <c r="L17" s="1543"/>
      <c r="M17" s="1543"/>
      <c r="N17" s="1543"/>
      <c r="O17" s="1544"/>
      <c r="Q17" s="158"/>
    </row>
    <row r="18" spans="2:17" x14ac:dyDescent="0.4">
      <c r="B18" s="1542"/>
      <c r="C18" s="1543"/>
      <c r="D18" s="1543"/>
      <c r="E18" s="1543"/>
      <c r="F18" s="1543"/>
      <c r="G18" s="1543"/>
      <c r="H18" s="1543"/>
      <c r="I18" s="1543"/>
      <c r="J18" s="1543"/>
      <c r="K18" s="1543"/>
      <c r="L18" s="1543"/>
      <c r="M18" s="1543"/>
      <c r="N18" s="1543"/>
      <c r="O18" s="1544"/>
      <c r="Q18" s="158"/>
    </row>
    <row r="19" spans="2:17" x14ac:dyDescent="0.4">
      <c r="B19" s="1542"/>
      <c r="C19" s="1543"/>
      <c r="D19" s="1543"/>
      <c r="E19" s="1543"/>
      <c r="F19" s="1543"/>
      <c r="G19" s="1543"/>
      <c r="H19" s="1543"/>
      <c r="I19" s="1543"/>
      <c r="J19" s="1543"/>
      <c r="K19" s="1543"/>
      <c r="L19" s="1543"/>
      <c r="M19" s="1543"/>
      <c r="N19" s="1543"/>
      <c r="O19" s="1544"/>
      <c r="Q19" s="158"/>
    </row>
    <row r="20" spans="2:17" x14ac:dyDescent="0.4">
      <c r="B20" s="1542"/>
      <c r="C20" s="1543"/>
      <c r="D20" s="1543"/>
      <c r="E20" s="1543"/>
      <c r="F20" s="1543"/>
      <c r="G20" s="1543"/>
      <c r="H20" s="1543"/>
      <c r="I20" s="1543"/>
      <c r="J20" s="1543"/>
      <c r="K20" s="1543"/>
      <c r="L20" s="1543"/>
      <c r="M20" s="1543"/>
      <c r="N20" s="1543"/>
      <c r="O20" s="1544"/>
      <c r="Q20" s="158"/>
    </row>
    <row r="21" spans="2:17" x14ac:dyDescent="0.4">
      <c r="B21" s="1542"/>
      <c r="C21" s="1543"/>
      <c r="D21" s="1543"/>
      <c r="E21" s="1543"/>
      <c r="F21" s="1543"/>
      <c r="G21" s="1543"/>
      <c r="H21" s="1543"/>
      <c r="I21" s="1543"/>
      <c r="J21" s="1543"/>
      <c r="K21" s="1543"/>
      <c r="L21" s="1543"/>
      <c r="M21" s="1543"/>
      <c r="N21" s="1543"/>
      <c r="O21" s="1544"/>
      <c r="Q21" s="158"/>
    </row>
    <row r="22" spans="2:17" x14ac:dyDescent="0.4">
      <c r="B22" s="1542"/>
      <c r="C22" s="1543"/>
      <c r="D22" s="1543"/>
      <c r="E22" s="1543"/>
      <c r="F22" s="1543"/>
      <c r="G22" s="1543"/>
      <c r="H22" s="1543"/>
      <c r="I22" s="1543"/>
      <c r="J22" s="1543"/>
      <c r="K22" s="1543"/>
      <c r="L22" s="1543"/>
      <c r="M22" s="1543"/>
      <c r="N22" s="1543"/>
      <c r="O22" s="1544"/>
      <c r="Q22" s="158"/>
    </row>
    <row r="23" spans="2:17" x14ac:dyDescent="0.4">
      <c r="B23" s="1542"/>
      <c r="C23" s="1543"/>
      <c r="D23" s="1543"/>
      <c r="E23" s="1543"/>
      <c r="F23" s="1543"/>
      <c r="G23" s="1543"/>
      <c r="H23" s="1543"/>
      <c r="I23" s="1543"/>
      <c r="J23" s="1543"/>
      <c r="K23" s="1543"/>
      <c r="L23" s="1543"/>
      <c r="M23" s="1543"/>
      <c r="N23" s="1543"/>
      <c r="O23" s="1544"/>
      <c r="Q23" s="158"/>
    </row>
    <row r="24" spans="2:17" x14ac:dyDescent="0.4">
      <c r="B24" s="1542"/>
      <c r="C24" s="1543"/>
      <c r="D24" s="1543"/>
      <c r="E24" s="1543"/>
      <c r="F24" s="1543"/>
      <c r="G24" s="1543"/>
      <c r="H24" s="1543"/>
      <c r="I24" s="1543"/>
      <c r="J24" s="1543"/>
      <c r="K24" s="1543"/>
      <c r="L24" s="1543"/>
      <c r="M24" s="1543"/>
      <c r="N24" s="1543"/>
      <c r="O24" s="1544"/>
      <c r="Q24" s="158"/>
    </row>
    <row r="25" spans="2:17" x14ac:dyDescent="0.4">
      <c r="B25" s="1542"/>
      <c r="C25" s="1543"/>
      <c r="D25" s="1543"/>
      <c r="E25" s="1543"/>
      <c r="F25" s="1543"/>
      <c r="G25" s="1543"/>
      <c r="H25" s="1543"/>
      <c r="I25" s="1543"/>
      <c r="J25" s="1543"/>
      <c r="K25" s="1543"/>
      <c r="L25" s="1543"/>
      <c r="M25" s="1543"/>
      <c r="N25" s="1543"/>
      <c r="O25" s="1544"/>
      <c r="Q25" s="158"/>
    </row>
    <row r="26" spans="2:17" x14ac:dyDescent="0.4">
      <c r="B26" s="1542"/>
      <c r="C26" s="1543"/>
      <c r="D26" s="1543"/>
      <c r="E26" s="1543"/>
      <c r="F26" s="1543"/>
      <c r="G26" s="1543"/>
      <c r="H26" s="1543"/>
      <c r="I26" s="1543"/>
      <c r="J26" s="1543"/>
      <c r="K26" s="1543"/>
      <c r="L26" s="1543"/>
      <c r="M26" s="1543"/>
      <c r="N26" s="1543"/>
      <c r="O26" s="1544"/>
      <c r="Q26" s="158"/>
    </row>
    <row r="27" spans="2:17" x14ac:dyDescent="0.4">
      <c r="B27" s="1542"/>
      <c r="C27" s="1543"/>
      <c r="D27" s="1543"/>
      <c r="E27" s="1543"/>
      <c r="F27" s="1543"/>
      <c r="G27" s="1543"/>
      <c r="H27" s="1543"/>
      <c r="I27" s="1543"/>
      <c r="J27" s="1543"/>
      <c r="K27" s="1543"/>
      <c r="L27" s="1543"/>
      <c r="M27" s="1543"/>
      <c r="N27" s="1543"/>
      <c r="O27" s="1544"/>
      <c r="Q27" s="158"/>
    </row>
    <row r="28" spans="2:17" x14ac:dyDescent="0.4">
      <c r="B28" s="1542"/>
      <c r="C28" s="1543"/>
      <c r="D28" s="1543"/>
      <c r="E28" s="1543"/>
      <c r="F28" s="1543"/>
      <c r="G28" s="1543"/>
      <c r="H28" s="1543"/>
      <c r="I28" s="1543"/>
      <c r="J28" s="1543"/>
      <c r="K28" s="1543"/>
      <c r="L28" s="1543"/>
      <c r="M28" s="1543"/>
      <c r="N28" s="1543"/>
      <c r="O28" s="1544"/>
      <c r="Q28" s="158"/>
    </row>
    <row r="29" spans="2:17" x14ac:dyDescent="0.4">
      <c r="B29" s="1542"/>
      <c r="C29" s="1543"/>
      <c r="D29" s="1543"/>
      <c r="E29" s="1543"/>
      <c r="F29" s="1543"/>
      <c r="G29" s="1543"/>
      <c r="H29" s="1543"/>
      <c r="I29" s="1543"/>
      <c r="J29" s="1543"/>
      <c r="K29" s="1543"/>
      <c r="L29" s="1543"/>
      <c r="M29" s="1543"/>
      <c r="N29" s="1543"/>
      <c r="O29" s="1544"/>
      <c r="Q29" s="158"/>
    </row>
    <row r="30" spans="2:17" x14ac:dyDescent="0.4">
      <c r="B30" s="1542"/>
      <c r="C30" s="1543"/>
      <c r="D30" s="1543"/>
      <c r="E30" s="1543"/>
      <c r="F30" s="1543"/>
      <c r="G30" s="1543"/>
      <c r="H30" s="1543"/>
      <c r="I30" s="1543"/>
      <c r="J30" s="1543"/>
      <c r="K30" s="1543"/>
      <c r="L30" s="1543"/>
      <c r="M30" s="1543"/>
      <c r="N30" s="1543"/>
      <c r="O30" s="1544"/>
      <c r="Q30" s="158"/>
    </row>
    <row r="31" spans="2:17" x14ac:dyDescent="0.4">
      <c r="B31" s="1542"/>
      <c r="C31" s="1543"/>
      <c r="D31" s="1543"/>
      <c r="E31" s="1543"/>
      <c r="F31" s="1543"/>
      <c r="G31" s="1543"/>
      <c r="H31" s="1543"/>
      <c r="I31" s="1543"/>
      <c r="J31" s="1543"/>
      <c r="K31" s="1543"/>
      <c r="L31" s="1543"/>
      <c r="M31" s="1543"/>
      <c r="N31" s="1543"/>
      <c r="O31" s="1544"/>
      <c r="Q31" s="158"/>
    </row>
    <row r="32" spans="2:17" x14ac:dyDescent="0.4">
      <c r="B32" s="1542"/>
      <c r="C32" s="1543"/>
      <c r="D32" s="1543"/>
      <c r="E32" s="1543"/>
      <c r="F32" s="1543"/>
      <c r="G32" s="1543"/>
      <c r="H32" s="1543"/>
      <c r="I32" s="1543"/>
      <c r="J32" s="1543"/>
      <c r="K32" s="1543"/>
      <c r="L32" s="1543"/>
      <c r="M32" s="1543"/>
      <c r="N32" s="1543"/>
      <c r="O32" s="1544"/>
      <c r="Q32" s="158"/>
    </row>
    <row r="33" spans="2:17" ht="16" thickBot="1" x14ac:dyDescent="0.45">
      <c r="B33" s="1545"/>
      <c r="C33" s="1546"/>
      <c r="D33" s="1546"/>
      <c r="E33" s="1546"/>
      <c r="F33" s="1546"/>
      <c r="G33" s="1546"/>
      <c r="H33" s="1546"/>
      <c r="I33" s="1546"/>
      <c r="J33" s="1546"/>
      <c r="K33" s="1546"/>
      <c r="L33" s="1546"/>
      <c r="M33" s="1546"/>
      <c r="N33" s="1546"/>
      <c r="O33" s="1547"/>
      <c r="Q33" s="158"/>
    </row>
    <row r="34" spans="2:17" s="133" customFormat="1" ht="16" thickBot="1" x14ac:dyDescent="0.45">
      <c r="Q34" s="158"/>
    </row>
    <row r="35" spans="2:17" ht="16" thickBot="1" x14ac:dyDescent="0.45">
      <c r="B35" s="148" t="s">
        <v>173</v>
      </c>
      <c r="C35" s="149"/>
      <c r="D35" s="149"/>
      <c r="E35" s="149"/>
      <c r="F35" s="149"/>
      <c r="G35" s="149"/>
      <c r="H35" s="149"/>
      <c r="I35" s="149"/>
      <c r="J35" s="149"/>
      <c r="K35" s="149"/>
      <c r="L35" s="149"/>
      <c r="M35" s="149"/>
      <c r="N35" s="149"/>
      <c r="O35" s="132"/>
      <c r="Q35" s="158"/>
    </row>
    <row r="36" spans="2:17" x14ac:dyDescent="0.4">
      <c r="B36" s="1542"/>
      <c r="C36" s="1543"/>
      <c r="D36" s="1543"/>
      <c r="E36" s="1543"/>
      <c r="F36" s="1543"/>
      <c r="G36" s="1543"/>
      <c r="H36" s="1543"/>
      <c r="I36" s="1543"/>
      <c r="J36" s="1543"/>
      <c r="K36" s="1543"/>
      <c r="L36" s="1543"/>
      <c r="M36" s="1543"/>
      <c r="N36" s="1543"/>
      <c r="O36" s="1544"/>
      <c r="Q36" s="158"/>
    </row>
    <row r="37" spans="2:17" x14ac:dyDescent="0.4">
      <c r="B37" s="1542"/>
      <c r="C37" s="1543"/>
      <c r="D37" s="1543"/>
      <c r="E37" s="1543"/>
      <c r="F37" s="1543"/>
      <c r="G37" s="1543"/>
      <c r="H37" s="1543"/>
      <c r="I37" s="1543"/>
      <c r="J37" s="1543"/>
      <c r="K37" s="1543"/>
      <c r="L37" s="1543"/>
      <c r="M37" s="1543"/>
      <c r="N37" s="1543"/>
      <c r="O37" s="1544"/>
      <c r="Q37" s="158"/>
    </row>
    <row r="38" spans="2:17" x14ac:dyDescent="0.4">
      <c r="B38" s="1542"/>
      <c r="C38" s="1543"/>
      <c r="D38" s="1543"/>
      <c r="E38" s="1543"/>
      <c r="F38" s="1543"/>
      <c r="G38" s="1543"/>
      <c r="H38" s="1543"/>
      <c r="I38" s="1543"/>
      <c r="J38" s="1543"/>
      <c r="K38" s="1543"/>
      <c r="L38" s="1543"/>
      <c r="M38" s="1543"/>
      <c r="N38" s="1543"/>
      <c r="O38" s="1544"/>
      <c r="Q38" s="158"/>
    </row>
    <row r="39" spans="2:17" x14ac:dyDescent="0.4">
      <c r="B39" s="1542"/>
      <c r="C39" s="1543"/>
      <c r="D39" s="1543"/>
      <c r="E39" s="1543"/>
      <c r="F39" s="1543"/>
      <c r="G39" s="1543"/>
      <c r="H39" s="1543"/>
      <c r="I39" s="1543"/>
      <c r="J39" s="1543"/>
      <c r="K39" s="1543"/>
      <c r="L39" s="1543"/>
      <c r="M39" s="1543"/>
      <c r="N39" s="1543"/>
      <c r="O39" s="1544"/>
      <c r="Q39" s="158"/>
    </row>
    <row r="40" spans="2:17" x14ac:dyDescent="0.4">
      <c r="B40" s="1542"/>
      <c r="C40" s="1543"/>
      <c r="D40" s="1543"/>
      <c r="E40" s="1543"/>
      <c r="F40" s="1543"/>
      <c r="G40" s="1543"/>
      <c r="H40" s="1543"/>
      <c r="I40" s="1543"/>
      <c r="J40" s="1543"/>
      <c r="K40" s="1543"/>
      <c r="L40" s="1543"/>
      <c r="M40" s="1543"/>
      <c r="N40" s="1543"/>
      <c r="O40" s="1544"/>
      <c r="Q40" s="158"/>
    </row>
    <row r="41" spans="2:17" x14ac:dyDescent="0.4">
      <c r="B41" s="1542"/>
      <c r="C41" s="1543"/>
      <c r="D41" s="1543"/>
      <c r="E41" s="1543"/>
      <c r="F41" s="1543"/>
      <c r="G41" s="1543"/>
      <c r="H41" s="1543"/>
      <c r="I41" s="1543"/>
      <c r="J41" s="1543"/>
      <c r="K41" s="1543"/>
      <c r="L41" s="1543"/>
      <c r="M41" s="1543"/>
      <c r="N41" s="1543"/>
      <c r="O41" s="1544"/>
      <c r="Q41" s="158"/>
    </row>
    <row r="42" spans="2:17" x14ac:dyDescent="0.4">
      <c r="B42" s="1542"/>
      <c r="C42" s="1543"/>
      <c r="D42" s="1543"/>
      <c r="E42" s="1543"/>
      <c r="F42" s="1543"/>
      <c r="G42" s="1543"/>
      <c r="H42" s="1543"/>
      <c r="I42" s="1543"/>
      <c r="J42" s="1543"/>
      <c r="K42" s="1543"/>
      <c r="L42" s="1543"/>
      <c r="M42" s="1543"/>
      <c r="N42" s="1543"/>
      <c r="O42" s="1544"/>
      <c r="Q42" s="158"/>
    </row>
    <row r="43" spans="2:17" x14ac:dyDescent="0.4">
      <c r="B43" s="1542"/>
      <c r="C43" s="1543"/>
      <c r="D43" s="1543"/>
      <c r="E43" s="1543"/>
      <c r="F43" s="1543"/>
      <c r="G43" s="1543"/>
      <c r="H43" s="1543"/>
      <c r="I43" s="1543"/>
      <c r="J43" s="1543"/>
      <c r="K43" s="1543"/>
      <c r="L43" s="1543"/>
      <c r="M43" s="1543"/>
      <c r="N43" s="1543"/>
      <c r="O43" s="1544"/>
      <c r="Q43" s="158"/>
    </row>
    <row r="44" spans="2:17" x14ac:dyDescent="0.4">
      <c r="B44" s="1542"/>
      <c r="C44" s="1543"/>
      <c r="D44" s="1543"/>
      <c r="E44" s="1543"/>
      <c r="F44" s="1543"/>
      <c r="G44" s="1543"/>
      <c r="H44" s="1543"/>
      <c r="I44" s="1543"/>
      <c r="J44" s="1543"/>
      <c r="K44" s="1543"/>
      <c r="L44" s="1543"/>
      <c r="M44" s="1543"/>
      <c r="N44" s="1543"/>
      <c r="O44" s="1544"/>
      <c r="Q44" s="158"/>
    </row>
    <row r="45" spans="2:17" x14ac:dyDescent="0.4">
      <c r="B45" s="1542"/>
      <c r="C45" s="1543"/>
      <c r="D45" s="1543"/>
      <c r="E45" s="1543"/>
      <c r="F45" s="1543"/>
      <c r="G45" s="1543"/>
      <c r="H45" s="1543"/>
      <c r="I45" s="1543"/>
      <c r="J45" s="1543"/>
      <c r="K45" s="1543"/>
      <c r="L45" s="1543"/>
      <c r="M45" s="1543"/>
      <c r="N45" s="1543"/>
      <c r="O45" s="1544"/>
      <c r="Q45" s="158"/>
    </row>
    <row r="46" spans="2:17" x14ac:dyDescent="0.4">
      <c r="B46" s="1542"/>
      <c r="C46" s="1543"/>
      <c r="D46" s="1543"/>
      <c r="E46" s="1543"/>
      <c r="F46" s="1543"/>
      <c r="G46" s="1543"/>
      <c r="H46" s="1543"/>
      <c r="I46" s="1543"/>
      <c r="J46" s="1543"/>
      <c r="K46" s="1543"/>
      <c r="L46" s="1543"/>
      <c r="M46" s="1543"/>
      <c r="N46" s="1543"/>
      <c r="O46" s="1544"/>
      <c r="Q46" s="158"/>
    </row>
    <row r="47" spans="2:17" x14ac:dyDescent="0.4">
      <c r="B47" s="1542"/>
      <c r="C47" s="1543"/>
      <c r="D47" s="1543"/>
      <c r="E47" s="1543"/>
      <c r="F47" s="1543"/>
      <c r="G47" s="1543"/>
      <c r="H47" s="1543"/>
      <c r="I47" s="1543"/>
      <c r="J47" s="1543"/>
      <c r="K47" s="1543"/>
      <c r="L47" s="1543"/>
      <c r="M47" s="1543"/>
      <c r="N47" s="1543"/>
      <c r="O47" s="1544"/>
      <c r="Q47" s="158"/>
    </row>
    <row r="48" spans="2:17" x14ac:dyDescent="0.4">
      <c r="B48" s="1542"/>
      <c r="C48" s="1543"/>
      <c r="D48" s="1543"/>
      <c r="E48" s="1543"/>
      <c r="F48" s="1543"/>
      <c r="G48" s="1543"/>
      <c r="H48" s="1543"/>
      <c r="I48" s="1543"/>
      <c r="J48" s="1543"/>
      <c r="K48" s="1543"/>
      <c r="L48" s="1543"/>
      <c r="M48" s="1543"/>
      <c r="N48" s="1543"/>
      <c r="O48" s="1544"/>
      <c r="Q48" s="158"/>
    </row>
    <row r="49" spans="2:17" x14ac:dyDescent="0.4">
      <c r="B49" s="1542"/>
      <c r="C49" s="1543"/>
      <c r="D49" s="1543"/>
      <c r="E49" s="1543"/>
      <c r="F49" s="1543"/>
      <c r="G49" s="1543"/>
      <c r="H49" s="1543"/>
      <c r="I49" s="1543"/>
      <c r="J49" s="1543"/>
      <c r="K49" s="1543"/>
      <c r="L49" s="1543"/>
      <c r="M49" s="1543"/>
      <c r="N49" s="1543"/>
      <c r="O49" s="1544"/>
      <c r="Q49" s="158"/>
    </row>
    <row r="50" spans="2:17" x14ac:dyDescent="0.4">
      <c r="B50" s="1542"/>
      <c r="C50" s="1543"/>
      <c r="D50" s="1543"/>
      <c r="E50" s="1543"/>
      <c r="F50" s="1543"/>
      <c r="G50" s="1543"/>
      <c r="H50" s="1543"/>
      <c r="I50" s="1543"/>
      <c r="J50" s="1543"/>
      <c r="K50" s="1543"/>
      <c r="L50" s="1543"/>
      <c r="M50" s="1543"/>
      <c r="N50" s="1543"/>
      <c r="O50" s="1544"/>
      <c r="Q50" s="158"/>
    </row>
    <row r="51" spans="2:17" x14ac:dyDescent="0.4">
      <c r="B51" s="1542"/>
      <c r="C51" s="1543"/>
      <c r="D51" s="1543"/>
      <c r="E51" s="1543"/>
      <c r="F51" s="1543"/>
      <c r="G51" s="1543"/>
      <c r="H51" s="1543"/>
      <c r="I51" s="1543"/>
      <c r="J51" s="1543"/>
      <c r="K51" s="1543"/>
      <c r="L51" s="1543"/>
      <c r="M51" s="1543"/>
      <c r="N51" s="1543"/>
      <c r="O51" s="1544"/>
      <c r="Q51" s="158"/>
    </row>
    <row r="52" spans="2:17" x14ac:dyDescent="0.4">
      <c r="B52" s="1542"/>
      <c r="C52" s="1543"/>
      <c r="D52" s="1543"/>
      <c r="E52" s="1543"/>
      <c r="F52" s="1543"/>
      <c r="G52" s="1543"/>
      <c r="H52" s="1543"/>
      <c r="I52" s="1543"/>
      <c r="J52" s="1543"/>
      <c r="K52" s="1543"/>
      <c r="L52" s="1543"/>
      <c r="M52" s="1543"/>
      <c r="N52" s="1543"/>
      <c r="O52" s="1544"/>
      <c r="Q52" s="158"/>
    </row>
    <row r="53" spans="2:17" x14ac:dyDescent="0.4">
      <c r="B53" s="1542"/>
      <c r="C53" s="1543"/>
      <c r="D53" s="1543"/>
      <c r="E53" s="1543"/>
      <c r="F53" s="1543"/>
      <c r="G53" s="1543"/>
      <c r="H53" s="1543"/>
      <c r="I53" s="1543"/>
      <c r="J53" s="1543"/>
      <c r="K53" s="1543"/>
      <c r="L53" s="1543"/>
      <c r="M53" s="1543"/>
      <c r="N53" s="1543"/>
      <c r="O53" s="1544"/>
      <c r="Q53" s="158"/>
    </row>
    <row r="54" spans="2:17" x14ac:dyDescent="0.4">
      <c r="B54" s="1542"/>
      <c r="C54" s="1543"/>
      <c r="D54" s="1543"/>
      <c r="E54" s="1543"/>
      <c r="F54" s="1543"/>
      <c r="G54" s="1543"/>
      <c r="H54" s="1543"/>
      <c r="I54" s="1543"/>
      <c r="J54" s="1543"/>
      <c r="K54" s="1543"/>
      <c r="L54" s="1543"/>
      <c r="M54" s="1543"/>
      <c r="N54" s="1543"/>
      <c r="O54" s="1544"/>
      <c r="Q54" s="158"/>
    </row>
    <row r="55" spans="2:17" x14ac:dyDescent="0.4">
      <c r="B55" s="1542"/>
      <c r="C55" s="1543"/>
      <c r="D55" s="1543"/>
      <c r="E55" s="1543"/>
      <c r="F55" s="1543"/>
      <c r="G55" s="1543"/>
      <c r="H55" s="1543"/>
      <c r="I55" s="1543"/>
      <c r="J55" s="1543"/>
      <c r="K55" s="1543"/>
      <c r="L55" s="1543"/>
      <c r="M55" s="1543"/>
      <c r="N55" s="1543"/>
      <c r="O55" s="1544"/>
      <c r="Q55" s="158"/>
    </row>
    <row r="56" spans="2:17" x14ac:dyDescent="0.4">
      <c r="B56" s="1542"/>
      <c r="C56" s="1543"/>
      <c r="D56" s="1543"/>
      <c r="E56" s="1543"/>
      <c r="F56" s="1543"/>
      <c r="G56" s="1543"/>
      <c r="H56" s="1543"/>
      <c r="I56" s="1543"/>
      <c r="J56" s="1543"/>
      <c r="K56" s="1543"/>
      <c r="L56" s="1543"/>
      <c r="M56" s="1543"/>
      <c r="N56" s="1543"/>
      <c r="O56" s="1544"/>
      <c r="Q56" s="158"/>
    </row>
    <row r="57" spans="2:17" ht="16" thickBot="1" x14ac:dyDescent="0.45">
      <c r="B57" s="1545"/>
      <c r="C57" s="1546"/>
      <c r="D57" s="1546"/>
      <c r="E57" s="1546"/>
      <c r="F57" s="1546"/>
      <c r="G57" s="1546"/>
      <c r="H57" s="1546"/>
      <c r="I57" s="1546"/>
      <c r="J57" s="1546"/>
      <c r="K57" s="1546"/>
      <c r="L57" s="1546"/>
      <c r="M57" s="1546"/>
      <c r="N57" s="1546"/>
      <c r="O57" s="1547"/>
      <c r="Q57" s="158"/>
    </row>
    <row r="58" spans="2:17" ht="16" thickBot="1" x14ac:dyDescent="0.45">
      <c r="Q58" s="158"/>
    </row>
    <row r="59" spans="2:17" ht="16" thickBot="1" x14ac:dyDescent="0.45">
      <c r="B59" s="148" t="s">
        <v>870</v>
      </c>
      <c r="C59" s="149"/>
      <c r="D59" s="149"/>
      <c r="E59" s="149"/>
      <c r="F59" s="149"/>
      <c r="G59" s="149"/>
      <c r="H59" s="149"/>
      <c r="I59" s="149"/>
      <c r="J59" s="149"/>
      <c r="K59" s="149"/>
      <c r="L59" s="149"/>
      <c r="M59" s="149"/>
      <c r="N59" s="149"/>
      <c r="O59" s="132"/>
      <c r="Q59" s="158"/>
    </row>
    <row r="60" spans="2:17" x14ac:dyDescent="0.4">
      <c r="B60" s="1542"/>
      <c r="C60" s="1543"/>
      <c r="D60" s="1543"/>
      <c r="E60" s="1543"/>
      <c r="F60" s="1543"/>
      <c r="G60" s="1543"/>
      <c r="H60" s="1543"/>
      <c r="I60" s="1543"/>
      <c r="J60" s="1543"/>
      <c r="K60" s="1543"/>
      <c r="L60" s="1543"/>
      <c r="M60" s="1543"/>
      <c r="N60" s="1543"/>
      <c r="O60" s="1544"/>
      <c r="Q60" s="158"/>
    </row>
    <row r="61" spans="2:17" x14ac:dyDescent="0.4">
      <c r="B61" s="1542"/>
      <c r="C61" s="1543"/>
      <c r="D61" s="1543"/>
      <c r="E61" s="1543"/>
      <c r="F61" s="1543"/>
      <c r="G61" s="1543"/>
      <c r="H61" s="1543"/>
      <c r="I61" s="1543"/>
      <c r="J61" s="1543"/>
      <c r="K61" s="1543"/>
      <c r="L61" s="1543"/>
      <c r="M61" s="1543"/>
      <c r="N61" s="1543"/>
      <c r="O61" s="1544"/>
      <c r="Q61" s="158"/>
    </row>
    <row r="62" spans="2:17" x14ac:dyDescent="0.4">
      <c r="B62" s="1542"/>
      <c r="C62" s="1543"/>
      <c r="D62" s="1543"/>
      <c r="E62" s="1543"/>
      <c r="F62" s="1543"/>
      <c r="G62" s="1543"/>
      <c r="H62" s="1543"/>
      <c r="I62" s="1543"/>
      <c r="J62" s="1543"/>
      <c r="K62" s="1543"/>
      <c r="L62" s="1543"/>
      <c r="M62" s="1543"/>
      <c r="N62" s="1543"/>
      <c r="O62" s="1544"/>
      <c r="Q62" s="158"/>
    </row>
    <row r="63" spans="2:17" x14ac:dyDescent="0.4">
      <c r="B63" s="1542"/>
      <c r="C63" s="1543"/>
      <c r="D63" s="1543"/>
      <c r="E63" s="1543"/>
      <c r="F63" s="1543"/>
      <c r="G63" s="1543"/>
      <c r="H63" s="1543"/>
      <c r="I63" s="1543"/>
      <c r="J63" s="1543"/>
      <c r="K63" s="1543"/>
      <c r="L63" s="1543"/>
      <c r="M63" s="1543"/>
      <c r="N63" s="1543"/>
      <c r="O63" s="1544"/>
      <c r="Q63" s="158"/>
    </row>
    <row r="64" spans="2:17" x14ac:dyDescent="0.4">
      <c r="B64" s="1542"/>
      <c r="C64" s="1543"/>
      <c r="D64" s="1543"/>
      <c r="E64" s="1543"/>
      <c r="F64" s="1543"/>
      <c r="G64" s="1543"/>
      <c r="H64" s="1543"/>
      <c r="I64" s="1543"/>
      <c r="J64" s="1543"/>
      <c r="K64" s="1543"/>
      <c r="L64" s="1543"/>
      <c r="M64" s="1543"/>
      <c r="N64" s="1543"/>
      <c r="O64" s="1544"/>
      <c r="Q64" s="158"/>
    </row>
    <row r="65" spans="2:17" x14ac:dyDescent="0.4">
      <c r="B65" s="1542"/>
      <c r="C65" s="1543"/>
      <c r="D65" s="1543"/>
      <c r="E65" s="1543"/>
      <c r="F65" s="1543"/>
      <c r="G65" s="1543"/>
      <c r="H65" s="1543"/>
      <c r="I65" s="1543"/>
      <c r="J65" s="1543"/>
      <c r="K65" s="1543"/>
      <c r="L65" s="1543"/>
      <c r="M65" s="1543"/>
      <c r="N65" s="1543"/>
      <c r="O65" s="1544"/>
      <c r="Q65" s="158"/>
    </row>
    <row r="66" spans="2:17" x14ac:dyDescent="0.4">
      <c r="B66" s="1542"/>
      <c r="C66" s="1543"/>
      <c r="D66" s="1543"/>
      <c r="E66" s="1543"/>
      <c r="F66" s="1543"/>
      <c r="G66" s="1543"/>
      <c r="H66" s="1543"/>
      <c r="I66" s="1543"/>
      <c r="J66" s="1543"/>
      <c r="K66" s="1543"/>
      <c r="L66" s="1543"/>
      <c r="M66" s="1543"/>
      <c r="N66" s="1543"/>
      <c r="O66" s="1544"/>
      <c r="Q66" s="158"/>
    </row>
    <row r="67" spans="2:17" x14ac:dyDescent="0.4">
      <c r="B67" s="1542"/>
      <c r="C67" s="1543"/>
      <c r="D67" s="1543"/>
      <c r="E67" s="1543"/>
      <c r="F67" s="1543"/>
      <c r="G67" s="1543"/>
      <c r="H67" s="1543"/>
      <c r="I67" s="1543"/>
      <c r="J67" s="1543"/>
      <c r="K67" s="1543"/>
      <c r="L67" s="1543"/>
      <c r="M67" s="1543"/>
      <c r="N67" s="1543"/>
      <c r="O67" s="1544"/>
      <c r="Q67" s="158"/>
    </row>
    <row r="68" spans="2:17" x14ac:dyDescent="0.4">
      <c r="B68" s="1542"/>
      <c r="C68" s="1543"/>
      <c r="D68" s="1543"/>
      <c r="E68" s="1543"/>
      <c r="F68" s="1543"/>
      <c r="G68" s="1543"/>
      <c r="H68" s="1543"/>
      <c r="I68" s="1543"/>
      <c r="J68" s="1543"/>
      <c r="K68" s="1543"/>
      <c r="L68" s="1543"/>
      <c r="M68" s="1543"/>
      <c r="N68" s="1543"/>
      <c r="O68" s="1544"/>
      <c r="Q68" s="158"/>
    </row>
    <row r="69" spans="2:17" x14ac:dyDescent="0.4">
      <c r="B69" s="1542"/>
      <c r="C69" s="1543"/>
      <c r="D69" s="1543"/>
      <c r="E69" s="1543"/>
      <c r="F69" s="1543"/>
      <c r="G69" s="1543"/>
      <c r="H69" s="1543"/>
      <c r="I69" s="1543"/>
      <c r="J69" s="1543"/>
      <c r="K69" s="1543"/>
      <c r="L69" s="1543"/>
      <c r="M69" s="1543"/>
      <c r="N69" s="1543"/>
      <c r="O69" s="1544"/>
      <c r="Q69" s="158"/>
    </row>
    <row r="70" spans="2:17" x14ac:dyDescent="0.4">
      <c r="B70" s="1542"/>
      <c r="C70" s="1543"/>
      <c r="D70" s="1543"/>
      <c r="E70" s="1543"/>
      <c r="F70" s="1543"/>
      <c r="G70" s="1543"/>
      <c r="H70" s="1543"/>
      <c r="I70" s="1543"/>
      <c r="J70" s="1543"/>
      <c r="K70" s="1543"/>
      <c r="L70" s="1543"/>
      <c r="M70" s="1543"/>
      <c r="N70" s="1543"/>
      <c r="O70" s="1544"/>
      <c r="Q70" s="158"/>
    </row>
    <row r="71" spans="2:17" x14ac:dyDescent="0.4">
      <c r="B71" s="1542"/>
      <c r="C71" s="1543"/>
      <c r="D71" s="1543"/>
      <c r="E71" s="1543"/>
      <c r="F71" s="1543"/>
      <c r="G71" s="1543"/>
      <c r="H71" s="1543"/>
      <c r="I71" s="1543"/>
      <c r="J71" s="1543"/>
      <c r="K71" s="1543"/>
      <c r="L71" s="1543"/>
      <c r="M71" s="1543"/>
      <c r="N71" s="1543"/>
      <c r="O71" s="1544"/>
      <c r="Q71" s="158"/>
    </row>
    <row r="72" spans="2:17" x14ac:dyDescent="0.4">
      <c r="B72" s="1542"/>
      <c r="C72" s="1543"/>
      <c r="D72" s="1543"/>
      <c r="E72" s="1543"/>
      <c r="F72" s="1543"/>
      <c r="G72" s="1543"/>
      <c r="H72" s="1543"/>
      <c r="I72" s="1543"/>
      <c r="J72" s="1543"/>
      <c r="K72" s="1543"/>
      <c r="L72" s="1543"/>
      <c r="M72" s="1543"/>
      <c r="N72" s="1543"/>
      <c r="O72" s="1544"/>
      <c r="Q72" s="158"/>
    </row>
    <row r="73" spans="2:17" x14ac:dyDescent="0.4">
      <c r="B73" s="1542"/>
      <c r="C73" s="1543"/>
      <c r="D73" s="1543"/>
      <c r="E73" s="1543"/>
      <c r="F73" s="1543"/>
      <c r="G73" s="1543"/>
      <c r="H73" s="1543"/>
      <c r="I73" s="1543"/>
      <c r="J73" s="1543"/>
      <c r="K73" s="1543"/>
      <c r="L73" s="1543"/>
      <c r="M73" s="1543"/>
      <c r="N73" s="1543"/>
      <c r="O73" s="1544"/>
      <c r="Q73" s="158"/>
    </row>
    <row r="74" spans="2:17" x14ac:dyDescent="0.4">
      <c r="B74" s="1542"/>
      <c r="C74" s="1543"/>
      <c r="D74" s="1543"/>
      <c r="E74" s="1543"/>
      <c r="F74" s="1543"/>
      <c r="G74" s="1543"/>
      <c r="H74" s="1543"/>
      <c r="I74" s="1543"/>
      <c r="J74" s="1543"/>
      <c r="K74" s="1543"/>
      <c r="L74" s="1543"/>
      <c r="M74" s="1543"/>
      <c r="N74" s="1543"/>
      <c r="O74" s="1544"/>
      <c r="Q74" s="158"/>
    </row>
    <row r="75" spans="2:17" x14ac:dyDescent="0.4">
      <c r="B75" s="1542"/>
      <c r="C75" s="1543"/>
      <c r="D75" s="1543"/>
      <c r="E75" s="1543"/>
      <c r="F75" s="1543"/>
      <c r="G75" s="1543"/>
      <c r="H75" s="1543"/>
      <c r="I75" s="1543"/>
      <c r="J75" s="1543"/>
      <c r="K75" s="1543"/>
      <c r="L75" s="1543"/>
      <c r="M75" s="1543"/>
      <c r="N75" s="1543"/>
      <c r="O75" s="1544"/>
      <c r="Q75" s="158"/>
    </row>
    <row r="76" spans="2:17" x14ac:dyDescent="0.4">
      <c r="B76" s="1542"/>
      <c r="C76" s="1543"/>
      <c r="D76" s="1543"/>
      <c r="E76" s="1543"/>
      <c r="F76" s="1543"/>
      <c r="G76" s="1543"/>
      <c r="H76" s="1543"/>
      <c r="I76" s="1543"/>
      <c r="J76" s="1543"/>
      <c r="K76" s="1543"/>
      <c r="L76" s="1543"/>
      <c r="M76" s="1543"/>
      <c r="N76" s="1543"/>
      <c r="O76" s="1544"/>
      <c r="Q76" s="158"/>
    </row>
    <row r="77" spans="2:17" x14ac:dyDescent="0.4">
      <c r="B77" s="1542"/>
      <c r="C77" s="1543"/>
      <c r="D77" s="1543"/>
      <c r="E77" s="1543"/>
      <c r="F77" s="1543"/>
      <c r="G77" s="1543"/>
      <c r="H77" s="1543"/>
      <c r="I77" s="1543"/>
      <c r="J77" s="1543"/>
      <c r="K77" s="1543"/>
      <c r="L77" s="1543"/>
      <c r="M77" s="1543"/>
      <c r="N77" s="1543"/>
      <c r="O77" s="1544"/>
      <c r="Q77" s="158"/>
    </row>
    <row r="78" spans="2:17" x14ac:dyDescent="0.4">
      <c r="B78" s="1542"/>
      <c r="C78" s="1543"/>
      <c r="D78" s="1543"/>
      <c r="E78" s="1543"/>
      <c r="F78" s="1543"/>
      <c r="G78" s="1543"/>
      <c r="H78" s="1543"/>
      <c r="I78" s="1543"/>
      <c r="J78" s="1543"/>
      <c r="K78" s="1543"/>
      <c r="L78" s="1543"/>
      <c r="M78" s="1543"/>
      <c r="N78" s="1543"/>
      <c r="O78" s="1544"/>
      <c r="Q78" s="158"/>
    </row>
    <row r="79" spans="2:17" x14ac:dyDescent="0.4">
      <c r="B79" s="1542"/>
      <c r="C79" s="1543"/>
      <c r="D79" s="1543"/>
      <c r="E79" s="1543"/>
      <c r="F79" s="1543"/>
      <c r="G79" s="1543"/>
      <c r="H79" s="1543"/>
      <c r="I79" s="1543"/>
      <c r="J79" s="1543"/>
      <c r="K79" s="1543"/>
      <c r="L79" s="1543"/>
      <c r="M79" s="1543"/>
      <c r="N79" s="1543"/>
      <c r="O79" s="1544"/>
      <c r="Q79" s="158"/>
    </row>
    <row r="80" spans="2:17" x14ac:dyDescent="0.4">
      <c r="B80" s="1542"/>
      <c r="C80" s="1543"/>
      <c r="D80" s="1543"/>
      <c r="E80" s="1543"/>
      <c r="F80" s="1543"/>
      <c r="G80" s="1543"/>
      <c r="H80" s="1543"/>
      <c r="I80" s="1543"/>
      <c r="J80" s="1543"/>
      <c r="K80" s="1543"/>
      <c r="L80" s="1543"/>
      <c r="M80" s="1543"/>
      <c r="N80" s="1543"/>
      <c r="O80" s="1544"/>
      <c r="Q80" s="158"/>
    </row>
    <row r="81" spans="2:17" ht="16" thickBot="1" x14ac:dyDescent="0.45">
      <c r="B81" s="1545"/>
      <c r="C81" s="1546"/>
      <c r="D81" s="1546"/>
      <c r="E81" s="1546"/>
      <c r="F81" s="1546"/>
      <c r="G81" s="1546"/>
      <c r="H81" s="1546"/>
      <c r="I81" s="1546"/>
      <c r="J81" s="1546"/>
      <c r="K81" s="1546"/>
      <c r="L81" s="1546"/>
      <c r="M81" s="1546"/>
      <c r="N81" s="1546"/>
      <c r="O81" s="1547"/>
      <c r="Q81" s="158"/>
    </row>
    <row r="82" spans="2:17" ht="16" thickBot="1" x14ac:dyDescent="0.45">
      <c r="Q82" s="158"/>
    </row>
    <row r="83" spans="2:17" ht="16" thickBot="1" x14ac:dyDescent="0.45">
      <c r="B83" s="148" t="s">
        <v>172</v>
      </c>
      <c r="C83" s="149"/>
      <c r="D83" s="149"/>
      <c r="E83" s="149"/>
      <c r="F83" s="149"/>
      <c r="G83" s="149"/>
      <c r="H83" s="149"/>
      <c r="I83" s="149"/>
      <c r="J83" s="149"/>
      <c r="K83" s="149"/>
      <c r="L83" s="149"/>
      <c r="M83" s="149"/>
      <c r="N83" s="149"/>
      <c r="O83" s="132"/>
      <c r="Q83" s="158"/>
    </row>
    <row r="84" spans="2:17" x14ac:dyDescent="0.4">
      <c r="B84" s="1542"/>
      <c r="C84" s="1543"/>
      <c r="D84" s="1543"/>
      <c r="E84" s="1543"/>
      <c r="F84" s="1543"/>
      <c r="G84" s="1543"/>
      <c r="H84" s="1543"/>
      <c r="I84" s="1543"/>
      <c r="J84" s="1543"/>
      <c r="K84" s="1543"/>
      <c r="L84" s="1543"/>
      <c r="M84" s="1543"/>
      <c r="N84" s="1543"/>
      <c r="O84" s="1544"/>
      <c r="Q84" s="158"/>
    </row>
    <row r="85" spans="2:17" x14ac:dyDescent="0.4">
      <c r="B85" s="1542"/>
      <c r="C85" s="1543"/>
      <c r="D85" s="1543"/>
      <c r="E85" s="1543"/>
      <c r="F85" s="1543"/>
      <c r="G85" s="1543"/>
      <c r="H85" s="1543"/>
      <c r="I85" s="1543"/>
      <c r="J85" s="1543"/>
      <c r="K85" s="1543"/>
      <c r="L85" s="1543"/>
      <c r="M85" s="1543"/>
      <c r="N85" s="1543"/>
      <c r="O85" s="1544"/>
      <c r="Q85" s="158"/>
    </row>
    <row r="86" spans="2:17" x14ac:dyDescent="0.4">
      <c r="B86" s="1542"/>
      <c r="C86" s="1543"/>
      <c r="D86" s="1543"/>
      <c r="E86" s="1543"/>
      <c r="F86" s="1543"/>
      <c r="G86" s="1543"/>
      <c r="H86" s="1543"/>
      <c r="I86" s="1543"/>
      <c r="J86" s="1543"/>
      <c r="K86" s="1543"/>
      <c r="L86" s="1543"/>
      <c r="M86" s="1543"/>
      <c r="N86" s="1543"/>
      <c r="O86" s="1544"/>
      <c r="Q86" s="158"/>
    </row>
    <row r="87" spans="2:17" x14ac:dyDescent="0.4">
      <c r="B87" s="1542"/>
      <c r="C87" s="1543"/>
      <c r="D87" s="1543"/>
      <c r="E87" s="1543"/>
      <c r="F87" s="1543"/>
      <c r="G87" s="1543"/>
      <c r="H87" s="1543"/>
      <c r="I87" s="1543"/>
      <c r="J87" s="1543"/>
      <c r="K87" s="1543"/>
      <c r="L87" s="1543"/>
      <c r="M87" s="1543"/>
      <c r="N87" s="1543"/>
      <c r="O87" s="1544"/>
      <c r="Q87" s="158"/>
    </row>
    <row r="88" spans="2:17" x14ac:dyDescent="0.4">
      <c r="B88" s="1542"/>
      <c r="C88" s="1543"/>
      <c r="D88" s="1543"/>
      <c r="E88" s="1543"/>
      <c r="F88" s="1543"/>
      <c r="G88" s="1543"/>
      <c r="H88" s="1543"/>
      <c r="I88" s="1543"/>
      <c r="J88" s="1543"/>
      <c r="K88" s="1543"/>
      <c r="L88" s="1543"/>
      <c r="M88" s="1543"/>
      <c r="N88" s="1543"/>
      <c r="O88" s="1544"/>
      <c r="Q88" s="158"/>
    </row>
    <row r="89" spans="2:17" x14ac:dyDescent="0.4">
      <c r="B89" s="1542"/>
      <c r="C89" s="1543"/>
      <c r="D89" s="1543"/>
      <c r="E89" s="1543"/>
      <c r="F89" s="1543"/>
      <c r="G89" s="1543"/>
      <c r="H89" s="1543"/>
      <c r="I89" s="1543"/>
      <c r="J89" s="1543"/>
      <c r="K89" s="1543"/>
      <c r="L89" s="1543"/>
      <c r="M89" s="1543"/>
      <c r="N89" s="1543"/>
      <c r="O89" s="1544"/>
      <c r="Q89" s="158"/>
    </row>
    <row r="90" spans="2:17" x14ac:dyDescent="0.4">
      <c r="B90" s="1542"/>
      <c r="C90" s="1543"/>
      <c r="D90" s="1543"/>
      <c r="E90" s="1543"/>
      <c r="F90" s="1543"/>
      <c r="G90" s="1543"/>
      <c r="H90" s="1543"/>
      <c r="I90" s="1543"/>
      <c r="J90" s="1543"/>
      <c r="K90" s="1543"/>
      <c r="L90" s="1543"/>
      <c r="M90" s="1543"/>
      <c r="N90" s="1543"/>
      <c r="O90" s="1544"/>
      <c r="Q90" s="158"/>
    </row>
    <row r="91" spans="2:17" x14ac:dyDescent="0.4">
      <c r="B91" s="1542"/>
      <c r="C91" s="1543"/>
      <c r="D91" s="1543"/>
      <c r="E91" s="1543"/>
      <c r="F91" s="1543"/>
      <c r="G91" s="1543"/>
      <c r="H91" s="1543"/>
      <c r="I91" s="1543"/>
      <c r="J91" s="1543"/>
      <c r="K91" s="1543"/>
      <c r="L91" s="1543"/>
      <c r="M91" s="1543"/>
      <c r="N91" s="1543"/>
      <c r="O91" s="1544"/>
      <c r="Q91" s="158"/>
    </row>
    <row r="92" spans="2:17" x14ac:dyDescent="0.4">
      <c r="B92" s="1542"/>
      <c r="C92" s="1543"/>
      <c r="D92" s="1543"/>
      <c r="E92" s="1543"/>
      <c r="F92" s="1543"/>
      <c r="G92" s="1543"/>
      <c r="H92" s="1543"/>
      <c r="I92" s="1543"/>
      <c r="J92" s="1543"/>
      <c r="K92" s="1543"/>
      <c r="L92" s="1543"/>
      <c r="M92" s="1543"/>
      <c r="N92" s="1543"/>
      <c r="O92" s="1544"/>
      <c r="Q92" s="158"/>
    </row>
    <row r="93" spans="2:17" x14ac:dyDescent="0.4">
      <c r="B93" s="1542"/>
      <c r="C93" s="1543"/>
      <c r="D93" s="1543"/>
      <c r="E93" s="1543"/>
      <c r="F93" s="1543"/>
      <c r="G93" s="1543"/>
      <c r="H93" s="1543"/>
      <c r="I93" s="1543"/>
      <c r="J93" s="1543"/>
      <c r="K93" s="1543"/>
      <c r="L93" s="1543"/>
      <c r="M93" s="1543"/>
      <c r="N93" s="1543"/>
      <c r="O93" s="1544"/>
      <c r="Q93" s="158"/>
    </row>
    <row r="94" spans="2:17" x14ac:dyDescent="0.4">
      <c r="B94" s="1542"/>
      <c r="C94" s="1543"/>
      <c r="D94" s="1543"/>
      <c r="E94" s="1543"/>
      <c r="F94" s="1543"/>
      <c r="G94" s="1543"/>
      <c r="H94" s="1543"/>
      <c r="I94" s="1543"/>
      <c r="J94" s="1543"/>
      <c r="K94" s="1543"/>
      <c r="L94" s="1543"/>
      <c r="M94" s="1543"/>
      <c r="N94" s="1543"/>
      <c r="O94" s="1544"/>
      <c r="Q94" s="158"/>
    </row>
    <row r="95" spans="2:17" x14ac:dyDescent="0.4">
      <c r="B95" s="1542"/>
      <c r="C95" s="1543"/>
      <c r="D95" s="1543"/>
      <c r="E95" s="1543"/>
      <c r="F95" s="1543"/>
      <c r="G95" s="1543"/>
      <c r="H95" s="1543"/>
      <c r="I95" s="1543"/>
      <c r="J95" s="1543"/>
      <c r="K95" s="1543"/>
      <c r="L95" s="1543"/>
      <c r="M95" s="1543"/>
      <c r="N95" s="1543"/>
      <c r="O95" s="1544"/>
      <c r="Q95" s="158"/>
    </row>
    <row r="96" spans="2:17" x14ac:dyDescent="0.4">
      <c r="B96" s="1542"/>
      <c r="C96" s="1543"/>
      <c r="D96" s="1543"/>
      <c r="E96" s="1543"/>
      <c r="F96" s="1543"/>
      <c r="G96" s="1543"/>
      <c r="H96" s="1543"/>
      <c r="I96" s="1543"/>
      <c r="J96" s="1543"/>
      <c r="K96" s="1543"/>
      <c r="L96" s="1543"/>
      <c r="M96" s="1543"/>
      <c r="N96" s="1543"/>
      <c r="O96" s="1544"/>
      <c r="Q96" s="158"/>
    </row>
    <row r="97" spans="2:17" x14ac:dyDescent="0.4">
      <c r="B97" s="1542"/>
      <c r="C97" s="1543"/>
      <c r="D97" s="1543"/>
      <c r="E97" s="1543"/>
      <c r="F97" s="1543"/>
      <c r="G97" s="1543"/>
      <c r="H97" s="1543"/>
      <c r="I97" s="1543"/>
      <c r="J97" s="1543"/>
      <c r="K97" s="1543"/>
      <c r="L97" s="1543"/>
      <c r="M97" s="1543"/>
      <c r="N97" s="1543"/>
      <c r="O97" s="1544"/>
      <c r="Q97" s="158"/>
    </row>
    <row r="98" spans="2:17" x14ac:dyDescent="0.4">
      <c r="B98" s="1542"/>
      <c r="C98" s="1543"/>
      <c r="D98" s="1543"/>
      <c r="E98" s="1543"/>
      <c r="F98" s="1543"/>
      <c r="G98" s="1543"/>
      <c r="H98" s="1543"/>
      <c r="I98" s="1543"/>
      <c r="J98" s="1543"/>
      <c r="K98" s="1543"/>
      <c r="L98" s="1543"/>
      <c r="M98" s="1543"/>
      <c r="N98" s="1543"/>
      <c r="O98" s="1544"/>
      <c r="Q98" s="158"/>
    </row>
    <row r="99" spans="2:17" x14ac:dyDescent="0.4">
      <c r="B99" s="1542"/>
      <c r="C99" s="1543"/>
      <c r="D99" s="1543"/>
      <c r="E99" s="1543"/>
      <c r="F99" s="1543"/>
      <c r="G99" s="1543"/>
      <c r="H99" s="1543"/>
      <c r="I99" s="1543"/>
      <c r="J99" s="1543"/>
      <c r="K99" s="1543"/>
      <c r="L99" s="1543"/>
      <c r="M99" s="1543"/>
      <c r="N99" s="1543"/>
      <c r="O99" s="1544"/>
      <c r="Q99" s="158"/>
    </row>
    <row r="100" spans="2:17" x14ac:dyDescent="0.4">
      <c r="B100" s="1542"/>
      <c r="C100" s="1543"/>
      <c r="D100" s="1543"/>
      <c r="E100" s="1543"/>
      <c r="F100" s="1543"/>
      <c r="G100" s="1543"/>
      <c r="H100" s="1543"/>
      <c r="I100" s="1543"/>
      <c r="J100" s="1543"/>
      <c r="K100" s="1543"/>
      <c r="L100" s="1543"/>
      <c r="M100" s="1543"/>
      <c r="N100" s="1543"/>
      <c r="O100" s="1544"/>
      <c r="Q100" s="158"/>
    </row>
    <row r="101" spans="2:17" x14ac:dyDescent="0.4">
      <c r="B101" s="1542"/>
      <c r="C101" s="1543"/>
      <c r="D101" s="1543"/>
      <c r="E101" s="1543"/>
      <c r="F101" s="1543"/>
      <c r="G101" s="1543"/>
      <c r="H101" s="1543"/>
      <c r="I101" s="1543"/>
      <c r="J101" s="1543"/>
      <c r="K101" s="1543"/>
      <c r="L101" s="1543"/>
      <c r="M101" s="1543"/>
      <c r="N101" s="1543"/>
      <c r="O101" s="1544"/>
      <c r="Q101" s="158"/>
    </row>
    <row r="102" spans="2:17" x14ac:dyDescent="0.4">
      <c r="B102" s="1542"/>
      <c r="C102" s="1543"/>
      <c r="D102" s="1543"/>
      <c r="E102" s="1543"/>
      <c r="F102" s="1543"/>
      <c r="G102" s="1543"/>
      <c r="H102" s="1543"/>
      <c r="I102" s="1543"/>
      <c r="J102" s="1543"/>
      <c r="K102" s="1543"/>
      <c r="L102" s="1543"/>
      <c r="M102" s="1543"/>
      <c r="N102" s="1543"/>
      <c r="O102" s="1544"/>
      <c r="Q102" s="158"/>
    </row>
    <row r="103" spans="2:17" x14ac:dyDescent="0.4">
      <c r="B103" s="1542"/>
      <c r="C103" s="1543"/>
      <c r="D103" s="1543"/>
      <c r="E103" s="1543"/>
      <c r="F103" s="1543"/>
      <c r="G103" s="1543"/>
      <c r="H103" s="1543"/>
      <c r="I103" s="1543"/>
      <c r="J103" s="1543"/>
      <c r="K103" s="1543"/>
      <c r="L103" s="1543"/>
      <c r="M103" s="1543"/>
      <c r="N103" s="1543"/>
      <c r="O103" s="1544"/>
      <c r="Q103" s="158"/>
    </row>
    <row r="104" spans="2:17" x14ac:dyDescent="0.4">
      <c r="B104" s="1542"/>
      <c r="C104" s="1543"/>
      <c r="D104" s="1543"/>
      <c r="E104" s="1543"/>
      <c r="F104" s="1543"/>
      <c r="G104" s="1543"/>
      <c r="H104" s="1543"/>
      <c r="I104" s="1543"/>
      <c r="J104" s="1543"/>
      <c r="K104" s="1543"/>
      <c r="L104" s="1543"/>
      <c r="M104" s="1543"/>
      <c r="N104" s="1543"/>
      <c r="O104" s="1544"/>
      <c r="Q104" s="158"/>
    </row>
    <row r="105" spans="2:17" ht="16" thickBot="1" x14ac:dyDescent="0.45">
      <c r="B105" s="1545"/>
      <c r="C105" s="1546"/>
      <c r="D105" s="1546"/>
      <c r="E105" s="1546"/>
      <c r="F105" s="1546"/>
      <c r="G105" s="1546"/>
      <c r="H105" s="1546"/>
      <c r="I105" s="1546"/>
      <c r="J105" s="1546"/>
      <c r="K105" s="1546"/>
      <c r="L105" s="1546"/>
      <c r="M105" s="1546"/>
      <c r="N105" s="1546"/>
      <c r="O105" s="1547"/>
      <c r="Q105" s="158"/>
    </row>
    <row r="106" spans="2:17" ht="16" thickBot="1" x14ac:dyDescent="0.45">
      <c r="B106" s="178"/>
      <c r="C106" s="178"/>
      <c r="D106" s="178"/>
      <c r="E106" s="178"/>
      <c r="F106" s="178"/>
      <c r="G106" s="178"/>
      <c r="Q106" s="158"/>
    </row>
    <row r="107" spans="2:17" ht="16" thickBot="1" x14ac:dyDescent="0.45">
      <c r="B107" s="177" t="s">
        <v>871</v>
      </c>
      <c r="C107" s="149"/>
      <c r="D107" s="149"/>
      <c r="E107" s="149"/>
      <c r="F107" s="149"/>
      <c r="G107" s="132"/>
      <c r="I107" s="177" t="s">
        <v>872</v>
      </c>
      <c r="J107" s="149"/>
      <c r="K107" s="149"/>
      <c r="L107" s="149"/>
      <c r="M107" s="149"/>
      <c r="N107" s="149"/>
      <c r="O107" s="132"/>
      <c r="Q107" s="158"/>
    </row>
    <row r="108" spans="2:17" x14ac:dyDescent="0.4">
      <c r="B108" s="1542"/>
      <c r="C108" s="1543"/>
      <c r="D108" s="1543"/>
      <c r="E108" s="1543"/>
      <c r="F108" s="1543"/>
      <c r="G108" s="1544"/>
      <c r="I108" s="1542"/>
      <c r="J108" s="1543"/>
      <c r="K108" s="1543"/>
      <c r="L108" s="1543"/>
      <c r="M108" s="1543"/>
      <c r="N108" s="1543"/>
      <c r="O108" s="1544"/>
      <c r="Q108" s="158"/>
    </row>
    <row r="109" spans="2:17" x14ac:dyDescent="0.4">
      <c r="B109" s="1542"/>
      <c r="C109" s="1543"/>
      <c r="D109" s="1543"/>
      <c r="E109" s="1543"/>
      <c r="F109" s="1543"/>
      <c r="G109" s="1544"/>
      <c r="I109" s="1542"/>
      <c r="J109" s="1543"/>
      <c r="K109" s="1543"/>
      <c r="L109" s="1543"/>
      <c r="M109" s="1543"/>
      <c r="N109" s="1543"/>
      <c r="O109" s="1544"/>
      <c r="Q109" s="158"/>
    </row>
    <row r="110" spans="2:17" x14ac:dyDescent="0.4">
      <c r="B110" s="1542"/>
      <c r="C110" s="1543"/>
      <c r="D110" s="1543"/>
      <c r="E110" s="1543"/>
      <c r="F110" s="1543"/>
      <c r="G110" s="1544"/>
      <c r="I110" s="1542"/>
      <c r="J110" s="1543"/>
      <c r="K110" s="1543"/>
      <c r="L110" s="1543"/>
      <c r="M110" s="1543"/>
      <c r="N110" s="1543"/>
      <c r="O110" s="1544"/>
      <c r="Q110" s="158"/>
    </row>
    <row r="111" spans="2:17" x14ac:dyDescent="0.4">
      <c r="B111" s="1542"/>
      <c r="C111" s="1543"/>
      <c r="D111" s="1543"/>
      <c r="E111" s="1543"/>
      <c r="F111" s="1543"/>
      <c r="G111" s="1544"/>
      <c r="I111" s="1542"/>
      <c r="J111" s="1543"/>
      <c r="K111" s="1543"/>
      <c r="L111" s="1543"/>
      <c r="M111" s="1543"/>
      <c r="N111" s="1543"/>
      <c r="O111" s="1544"/>
      <c r="Q111" s="158"/>
    </row>
    <row r="112" spans="2:17" x14ac:dyDescent="0.4">
      <c r="B112" s="1542"/>
      <c r="C112" s="1543"/>
      <c r="D112" s="1543"/>
      <c r="E112" s="1543"/>
      <c r="F112" s="1543"/>
      <c r="G112" s="1544"/>
      <c r="I112" s="1542"/>
      <c r="J112" s="1543"/>
      <c r="K112" s="1543"/>
      <c r="L112" s="1543"/>
      <c r="M112" s="1543"/>
      <c r="N112" s="1543"/>
      <c r="O112" s="1544"/>
      <c r="Q112" s="158"/>
    </row>
    <row r="113" spans="2:17" x14ac:dyDescent="0.4">
      <c r="B113" s="1542"/>
      <c r="C113" s="1543"/>
      <c r="D113" s="1543"/>
      <c r="E113" s="1543"/>
      <c r="F113" s="1543"/>
      <c r="G113" s="1544"/>
      <c r="I113" s="1542"/>
      <c r="J113" s="1543"/>
      <c r="K113" s="1543"/>
      <c r="L113" s="1543"/>
      <c r="M113" s="1543"/>
      <c r="N113" s="1543"/>
      <c r="O113" s="1544"/>
      <c r="Q113" s="158"/>
    </row>
    <row r="114" spans="2:17" x14ac:dyDescent="0.4">
      <c r="B114" s="1542"/>
      <c r="C114" s="1543"/>
      <c r="D114" s="1543"/>
      <c r="E114" s="1543"/>
      <c r="F114" s="1543"/>
      <c r="G114" s="1544"/>
      <c r="I114" s="1542"/>
      <c r="J114" s="1543"/>
      <c r="K114" s="1543"/>
      <c r="L114" s="1543"/>
      <c r="M114" s="1543"/>
      <c r="N114" s="1543"/>
      <c r="O114" s="1544"/>
      <c r="Q114" s="158"/>
    </row>
    <row r="115" spans="2:17" x14ac:dyDescent="0.4">
      <c r="B115" s="1542"/>
      <c r="C115" s="1543"/>
      <c r="D115" s="1543"/>
      <c r="E115" s="1543"/>
      <c r="F115" s="1543"/>
      <c r="G115" s="1544"/>
      <c r="I115" s="1542"/>
      <c r="J115" s="1543"/>
      <c r="K115" s="1543"/>
      <c r="L115" s="1543"/>
      <c r="M115" s="1543"/>
      <c r="N115" s="1543"/>
      <c r="O115" s="1544"/>
      <c r="Q115" s="158"/>
    </row>
    <row r="116" spans="2:17" x14ac:dyDescent="0.4">
      <c r="B116" s="1542"/>
      <c r="C116" s="1543"/>
      <c r="D116" s="1543"/>
      <c r="E116" s="1543"/>
      <c r="F116" s="1543"/>
      <c r="G116" s="1544"/>
      <c r="I116" s="1542"/>
      <c r="J116" s="1543"/>
      <c r="K116" s="1543"/>
      <c r="L116" s="1543"/>
      <c r="M116" s="1543"/>
      <c r="N116" s="1543"/>
      <c r="O116" s="1544"/>
      <c r="Q116" s="158"/>
    </row>
    <row r="117" spans="2:17" x14ac:dyDescent="0.4">
      <c r="B117" s="1542"/>
      <c r="C117" s="1543"/>
      <c r="D117" s="1543"/>
      <c r="E117" s="1543"/>
      <c r="F117" s="1543"/>
      <c r="G117" s="1544"/>
      <c r="I117" s="1542"/>
      <c r="J117" s="1543"/>
      <c r="K117" s="1543"/>
      <c r="L117" s="1543"/>
      <c r="M117" s="1543"/>
      <c r="N117" s="1543"/>
      <c r="O117" s="1544"/>
      <c r="Q117" s="158"/>
    </row>
    <row r="118" spans="2:17" x14ac:dyDescent="0.4">
      <c r="B118" s="1542"/>
      <c r="C118" s="1543"/>
      <c r="D118" s="1543"/>
      <c r="E118" s="1543"/>
      <c r="F118" s="1543"/>
      <c r="G118" s="1544"/>
      <c r="I118" s="1542"/>
      <c r="J118" s="1543"/>
      <c r="K118" s="1543"/>
      <c r="L118" s="1543"/>
      <c r="M118" s="1543"/>
      <c r="N118" s="1543"/>
      <c r="O118" s="1544"/>
      <c r="Q118" s="158"/>
    </row>
    <row r="119" spans="2:17" x14ac:dyDescent="0.4">
      <c r="B119" s="1542"/>
      <c r="C119" s="1543"/>
      <c r="D119" s="1543"/>
      <c r="E119" s="1543"/>
      <c r="F119" s="1543"/>
      <c r="G119" s="1544"/>
      <c r="I119" s="1542"/>
      <c r="J119" s="1543"/>
      <c r="K119" s="1543"/>
      <c r="L119" s="1543"/>
      <c r="M119" s="1543"/>
      <c r="N119" s="1543"/>
      <c r="O119" s="1544"/>
      <c r="Q119" s="158"/>
    </row>
    <row r="120" spans="2:17" x14ac:dyDescent="0.4">
      <c r="B120" s="1542"/>
      <c r="C120" s="1543"/>
      <c r="D120" s="1543"/>
      <c r="E120" s="1543"/>
      <c r="F120" s="1543"/>
      <c r="G120" s="1544"/>
      <c r="I120" s="1542"/>
      <c r="J120" s="1543"/>
      <c r="K120" s="1543"/>
      <c r="L120" s="1543"/>
      <c r="M120" s="1543"/>
      <c r="N120" s="1543"/>
      <c r="O120" s="1544"/>
      <c r="Q120" s="158"/>
    </row>
    <row r="121" spans="2:17" x14ac:dyDescent="0.4">
      <c r="B121" s="1542"/>
      <c r="C121" s="1543"/>
      <c r="D121" s="1543"/>
      <c r="E121" s="1543"/>
      <c r="F121" s="1543"/>
      <c r="G121" s="1544"/>
      <c r="I121" s="1542"/>
      <c r="J121" s="1543"/>
      <c r="K121" s="1543"/>
      <c r="L121" s="1543"/>
      <c r="M121" s="1543"/>
      <c r="N121" s="1543"/>
      <c r="O121" s="1544"/>
      <c r="Q121" s="158"/>
    </row>
    <row r="122" spans="2:17" x14ac:dyDescent="0.4">
      <c r="B122" s="1542"/>
      <c r="C122" s="1543"/>
      <c r="D122" s="1543"/>
      <c r="E122" s="1543"/>
      <c r="F122" s="1543"/>
      <c r="G122" s="1544"/>
      <c r="I122" s="1542"/>
      <c r="J122" s="1543"/>
      <c r="K122" s="1543"/>
      <c r="L122" s="1543"/>
      <c r="M122" s="1543"/>
      <c r="N122" s="1543"/>
      <c r="O122" s="1544"/>
      <c r="Q122" s="158"/>
    </row>
    <row r="123" spans="2:17" x14ac:dyDescent="0.4">
      <c r="B123" s="1542"/>
      <c r="C123" s="1543"/>
      <c r="D123" s="1543"/>
      <c r="E123" s="1543"/>
      <c r="F123" s="1543"/>
      <c r="G123" s="1544"/>
      <c r="I123" s="1542"/>
      <c r="J123" s="1543"/>
      <c r="K123" s="1543"/>
      <c r="L123" s="1543"/>
      <c r="M123" s="1543"/>
      <c r="N123" s="1543"/>
      <c r="O123" s="1544"/>
      <c r="Q123" s="158"/>
    </row>
    <row r="124" spans="2:17" x14ac:dyDescent="0.4">
      <c r="B124" s="1542"/>
      <c r="C124" s="1543"/>
      <c r="D124" s="1543"/>
      <c r="E124" s="1543"/>
      <c r="F124" s="1543"/>
      <c r="G124" s="1544"/>
      <c r="I124" s="1542"/>
      <c r="J124" s="1543"/>
      <c r="K124" s="1543"/>
      <c r="L124" s="1543"/>
      <c r="M124" s="1543"/>
      <c r="N124" s="1543"/>
      <c r="O124" s="1544"/>
      <c r="Q124" s="158"/>
    </row>
    <row r="125" spans="2:17" x14ac:dyDescent="0.4">
      <c r="B125" s="1542"/>
      <c r="C125" s="1543"/>
      <c r="D125" s="1543"/>
      <c r="E125" s="1543"/>
      <c r="F125" s="1543"/>
      <c r="G125" s="1544"/>
      <c r="I125" s="1542"/>
      <c r="J125" s="1543"/>
      <c r="K125" s="1543"/>
      <c r="L125" s="1543"/>
      <c r="M125" s="1543"/>
      <c r="N125" s="1543"/>
      <c r="O125" s="1544"/>
      <c r="Q125" s="158"/>
    </row>
    <row r="126" spans="2:17" x14ac:dyDescent="0.4">
      <c r="B126" s="1542"/>
      <c r="C126" s="1543"/>
      <c r="D126" s="1543"/>
      <c r="E126" s="1543"/>
      <c r="F126" s="1543"/>
      <c r="G126" s="1544"/>
      <c r="I126" s="1542"/>
      <c r="J126" s="1543"/>
      <c r="K126" s="1543"/>
      <c r="L126" s="1543"/>
      <c r="M126" s="1543"/>
      <c r="N126" s="1543"/>
      <c r="O126" s="1544"/>
      <c r="Q126" s="158"/>
    </row>
    <row r="127" spans="2:17" x14ac:dyDescent="0.4">
      <c r="B127" s="1542"/>
      <c r="C127" s="1543"/>
      <c r="D127" s="1543"/>
      <c r="E127" s="1543"/>
      <c r="F127" s="1543"/>
      <c r="G127" s="1544"/>
      <c r="I127" s="1542"/>
      <c r="J127" s="1543"/>
      <c r="K127" s="1543"/>
      <c r="L127" s="1543"/>
      <c r="M127" s="1543"/>
      <c r="N127" s="1543"/>
      <c r="O127" s="1544"/>
      <c r="Q127" s="158"/>
    </row>
    <row r="128" spans="2:17" ht="16" thickBot="1" x14ac:dyDescent="0.45">
      <c r="B128" s="1545"/>
      <c r="C128" s="1546"/>
      <c r="D128" s="1546"/>
      <c r="E128" s="1546"/>
      <c r="F128" s="1546"/>
      <c r="G128" s="1547"/>
      <c r="I128" s="1545"/>
      <c r="J128" s="1546"/>
      <c r="K128" s="1546"/>
      <c r="L128" s="1546"/>
      <c r="M128" s="1546"/>
      <c r="N128" s="1546"/>
      <c r="O128" s="1547"/>
      <c r="Q128" s="158"/>
    </row>
    <row r="129" spans="2:17" ht="16" thickBot="1" x14ac:dyDescent="0.45">
      <c r="Q129" s="158"/>
    </row>
    <row r="130" spans="2:17" ht="16" thickBot="1" x14ac:dyDescent="0.45">
      <c r="B130" s="177" t="s">
        <v>873</v>
      </c>
      <c r="C130" s="149"/>
      <c r="D130" s="149"/>
      <c r="E130" s="149"/>
      <c r="F130" s="149"/>
      <c r="G130" s="132"/>
      <c r="I130" s="177" t="s">
        <v>874</v>
      </c>
      <c r="J130" s="149"/>
      <c r="K130" s="149"/>
      <c r="L130" s="149"/>
      <c r="M130" s="149"/>
      <c r="N130" s="149"/>
      <c r="O130" s="132"/>
      <c r="Q130" s="158"/>
    </row>
    <row r="131" spans="2:17" x14ac:dyDescent="0.4">
      <c r="B131" s="1542"/>
      <c r="C131" s="1543"/>
      <c r="D131" s="1543"/>
      <c r="E131" s="1543"/>
      <c r="F131" s="1543"/>
      <c r="G131" s="1544"/>
      <c r="I131" s="1542"/>
      <c r="J131" s="1543"/>
      <c r="K131" s="1543"/>
      <c r="L131" s="1543"/>
      <c r="M131" s="1543"/>
      <c r="N131" s="1543"/>
      <c r="O131" s="1544"/>
      <c r="Q131" s="158"/>
    </row>
    <row r="132" spans="2:17" x14ac:dyDescent="0.4">
      <c r="B132" s="1542"/>
      <c r="C132" s="1543"/>
      <c r="D132" s="1543"/>
      <c r="E132" s="1543"/>
      <c r="F132" s="1543"/>
      <c r="G132" s="1544"/>
      <c r="I132" s="1542"/>
      <c r="J132" s="1543"/>
      <c r="K132" s="1543"/>
      <c r="L132" s="1543"/>
      <c r="M132" s="1543"/>
      <c r="N132" s="1543"/>
      <c r="O132" s="1544"/>
      <c r="Q132" s="158"/>
    </row>
    <row r="133" spans="2:17" x14ac:dyDescent="0.4">
      <c r="B133" s="1542"/>
      <c r="C133" s="1543"/>
      <c r="D133" s="1543"/>
      <c r="E133" s="1543"/>
      <c r="F133" s="1543"/>
      <c r="G133" s="1544"/>
      <c r="I133" s="1542"/>
      <c r="J133" s="1543"/>
      <c r="K133" s="1543"/>
      <c r="L133" s="1543"/>
      <c r="M133" s="1543"/>
      <c r="N133" s="1543"/>
      <c r="O133" s="1544"/>
      <c r="Q133" s="158"/>
    </row>
    <row r="134" spans="2:17" x14ac:dyDescent="0.4">
      <c r="B134" s="1542"/>
      <c r="C134" s="1543"/>
      <c r="D134" s="1543"/>
      <c r="E134" s="1543"/>
      <c r="F134" s="1543"/>
      <c r="G134" s="1544"/>
      <c r="I134" s="1542"/>
      <c r="J134" s="1543"/>
      <c r="K134" s="1543"/>
      <c r="L134" s="1543"/>
      <c r="M134" s="1543"/>
      <c r="N134" s="1543"/>
      <c r="O134" s="1544"/>
      <c r="Q134" s="158"/>
    </row>
    <row r="135" spans="2:17" x14ac:dyDescent="0.4">
      <c r="B135" s="1542"/>
      <c r="C135" s="1543"/>
      <c r="D135" s="1543"/>
      <c r="E135" s="1543"/>
      <c r="F135" s="1543"/>
      <c r="G135" s="1544"/>
      <c r="I135" s="1542"/>
      <c r="J135" s="1543"/>
      <c r="K135" s="1543"/>
      <c r="L135" s="1543"/>
      <c r="M135" s="1543"/>
      <c r="N135" s="1543"/>
      <c r="O135" s="1544"/>
      <c r="Q135" s="158"/>
    </row>
    <row r="136" spans="2:17" x14ac:dyDescent="0.4">
      <c r="B136" s="1542"/>
      <c r="C136" s="1543"/>
      <c r="D136" s="1543"/>
      <c r="E136" s="1543"/>
      <c r="F136" s="1543"/>
      <c r="G136" s="1544"/>
      <c r="I136" s="1542"/>
      <c r="J136" s="1543"/>
      <c r="K136" s="1543"/>
      <c r="L136" s="1543"/>
      <c r="M136" s="1543"/>
      <c r="N136" s="1543"/>
      <c r="O136" s="1544"/>
      <c r="Q136" s="158"/>
    </row>
    <row r="137" spans="2:17" x14ac:dyDescent="0.4">
      <c r="B137" s="1542"/>
      <c r="C137" s="1543"/>
      <c r="D137" s="1543"/>
      <c r="E137" s="1543"/>
      <c r="F137" s="1543"/>
      <c r="G137" s="1544"/>
      <c r="I137" s="1542"/>
      <c r="J137" s="1543"/>
      <c r="K137" s="1543"/>
      <c r="L137" s="1543"/>
      <c r="M137" s="1543"/>
      <c r="N137" s="1543"/>
      <c r="O137" s="1544"/>
      <c r="Q137" s="158"/>
    </row>
    <row r="138" spans="2:17" x14ac:dyDescent="0.4">
      <c r="B138" s="1542"/>
      <c r="C138" s="1543"/>
      <c r="D138" s="1543"/>
      <c r="E138" s="1543"/>
      <c r="F138" s="1543"/>
      <c r="G138" s="1544"/>
      <c r="I138" s="1542"/>
      <c r="J138" s="1543"/>
      <c r="K138" s="1543"/>
      <c r="L138" s="1543"/>
      <c r="M138" s="1543"/>
      <c r="N138" s="1543"/>
      <c r="O138" s="1544"/>
      <c r="Q138" s="158"/>
    </row>
    <row r="139" spans="2:17" x14ac:dyDescent="0.4">
      <c r="B139" s="1542"/>
      <c r="C139" s="1543"/>
      <c r="D139" s="1543"/>
      <c r="E139" s="1543"/>
      <c r="F139" s="1543"/>
      <c r="G139" s="1544"/>
      <c r="I139" s="1542"/>
      <c r="J139" s="1543"/>
      <c r="K139" s="1543"/>
      <c r="L139" s="1543"/>
      <c r="M139" s="1543"/>
      <c r="N139" s="1543"/>
      <c r="O139" s="1544"/>
      <c r="Q139" s="158"/>
    </row>
    <row r="140" spans="2:17" x14ac:dyDescent="0.4">
      <c r="B140" s="1542"/>
      <c r="C140" s="1543"/>
      <c r="D140" s="1543"/>
      <c r="E140" s="1543"/>
      <c r="F140" s="1543"/>
      <c r="G140" s="1544"/>
      <c r="I140" s="1542"/>
      <c r="J140" s="1543"/>
      <c r="K140" s="1543"/>
      <c r="L140" s="1543"/>
      <c r="M140" s="1543"/>
      <c r="N140" s="1543"/>
      <c r="O140" s="1544"/>
      <c r="Q140" s="158"/>
    </row>
    <row r="141" spans="2:17" x14ac:dyDescent="0.4">
      <c r="B141" s="1542"/>
      <c r="C141" s="1543"/>
      <c r="D141" s="1543"/>
      <c r="E141" s="1543"/>
      <c r="F141" s="1543"/>
      <c r="G141" s="1544"/>
      <c r="I141" s="1542"/>
      <c r="J141" s="1543"/>
      <c r="K141" s="1543"/>
      <c r="L141" s="1543"/>
      <c r="M141" s="1543"/>
      <c r="N141" s="1543"/>
      <c r="O141" s="1544"/>
      <c r="Q141" s="158"/>
    </row>
    <row r="142" spans="2:17" x14ac:dyDescent="0.4">
      <c r="B142" s="1542"/>
      <c r="C142" s="1543"/>
      <c r="D142" s="1543"/>
      <c r="E142" s="1543"/>
      <c r="F142" s="1543"/>
      <c r="G142" s="1544"/>
      <c r="I142" s="1542"/>
      <c r="J142" s="1543"/>
      <c r="K142" s="1543"/>
      <c r="L142" s="1543"/>
      <c r="M142" s="1543"/>
      <c r="N142" s="1543"/>
      <c r="O142" s="1544"/>
      <c r="Q142" s="158"/>
    </row>
    <row r="143" spans="2:17" x14ac:dyDescent="0.4">
      <c r="B143" s="1542"/>
      <c r="C143" s="1543"/>
      <c r="D143" s="1543"/>
      <c r="E143" s="1543"/>
      <c r="F143" s="1543"/>
      <c r="G143" s="1544"/>
      <c r="I143" s="1542"/>
      <c r="J143" s="1543"/>
      <c r="K143" s="1543"/>
      <c r="L143" s="1543"/>
      <c r="M143" s="1543"/>
      <c r="N143" s="1543"/>
      <c r="O143" s="1544"/>
      <c r="Q143" s="158"/>
    </row>
    <row r="144" spans="2:17" x14ac:dyDescent="0.4">
      <c r="B144" s="1542"/>
      <c r="C144" s="1543"/>
      <c r="D144" s="1543"/>
      <c r="E144" s="1543"/>
      <c r="F144" s="1543"/>
      <c r="G144" s="1544"/>
      <c r="I144" s="1542"/>
      <c r="J144" s="1543"/>
      <c r="K144" s="1543"/>
      <c r="L144" s="1543"/>
      <c r="M144" s="1543"/>
      <c r="N144" s="1543"/>
      <c r="O144" s="1544"/>
      <c r="Q144" s="158"/>
    </row>
    <row r="145" spans="2:17" x14ac:dyDescent="0.4">
      <c r="B145" s="1542"/>
      <c r="C145" s="1543"/>
      <c r="D145" s="1543"/>
      <c r="E145" s="1543"/>
      <c r="F145" s="1543"/>
      <c r="G145" s="1544"/>
      <c r="I145" s="1542"/>
      <c r="J145" s="1543"/>
      <c r="K145" s="1543"/>
      <c r="L145" s="1543"/>
      <c r="M145" s="1543"/>
      <c r="N145" s="1543"/>
      <c r="O145" s="1544"/>
      <c r="Q145" s="158"/>
    </row>
    <row r="146" spans="2:17" x14ac:dyDescent="0.4">
      <c r="B146" s="1542"/>
      <c r="C146" s="1543"/>
      <c r="D146" s="1543"/>
      <c r="E146" s="1543"/>
      <c r="F146" s="1543"/>
      <c r="G146" s="1544"/>
      <c r="I146" s="1542"/>
      <c r="J146" s="1543"/>
      <c r="K146" s="1543"/>
      <c r="L146" s="1543"/>
      <c r="M146" s="1543"/>
      <c r="N146" s="1543"/>
      <c r="O146" s="1544"/>
      <c r="Q146" s="158"/>
    </row>
    <row r="147" spans="2:17" x14ac:dyDescent="0.4">
      <c r="B147" s="1542"/>
      <c r="C147" s="1543"/>
      <c r="D147" s="1543"/>
      <c r="E147" s="1543"/>
      <c r="F147" s="1543"/>
      <c r="G147" s="1544"/>
      <c r="I147" s="1542"/>
      <c r="J147" s="1543"/>
      <c r="K147" s="1543"/>
      <c r="L147" s="1543"/>
      <c r="M147" s="1543"/>
      <c r="N147" s="1543"/>
      <c r="O147" s="1544"/>
      <c r="Q147" s="158"/>
    </row>
    <row r="148" spans="2:17" x14ac:dyDescent="0.4">
      <c r="B148" s="1542"/>
      <c r="C148" s="1543"/>
      <c r="D148" s="1543"/>
      <c r="E148" s="1543"/>
      <c r="F148" s="1543"/>
      <c r="G148" s="1544"/>
      <c r="I148" s="1542"/>
      <c r="J148" s="1543"/>
      <c r="K148" s="1543"/>
      <c r="L148" s="1543"/>
      <c r="M148" s="1543"/>
      <c r="N148" s="1543"/>
      <c r="O148" s="1544"/>
      <c r="Q148" s="158"/>
    </row>
    <row r="149" spans="2:17" x14ac:dyDescent="0.4">
      <c r="B149" s="1542"/>
      <c r="C149" s="1543"/>
      <c r="D149" s="1543"/>
      <c r="E149" s="1543"/>
      <c r="F149" s="1543"/>
      <c r="G149" s="1544"/>
      <c r="I149" s="1542"/>
      <c r="J149" s="1543"/>
      <c r="K149" s="1543"/>
      <c r="L149" s="1543"/>
      <c r="M149" s="1543"/>
      <c r="N149" s="1543"/>
      <c r="O149" s="1544"/>
      <c r="Q149" s="158"/>
    </row>
    <row r="150" spans="2:17" x14ac:dyDescent="0.4">
      <c r="B150" s="1542"/>
      <c r="C150" s="1543"/>
      <c r="D150" s="1543"/>
      <c r="E150" s="1543"/>
      <c r="F150" s="1543"/>
      <c r="G150" s="1544"/>
      <c r="I150" s="1542"/>
      <c r="J150" s="1543"/>
      <c r="K150" s="1543"/>
      <c r="L150" s="1543"/>
      <c r="M150" s="1543"/>
      <c r="N150" s="1543"/>
      <c r="O150" s="1544"/>
      <c r="Q150" s="158"/>
    </row>
    <row r="151" spans="2:17" ht="16" thickBot="1" x14ac:dyDescent="0.45">
      <c r="B151" s="1545"/>
      <c r="C151" s="1546"/>
      <c r="D151" s="1546"/>
      <c r="E151" s="1546"/>
      <c r="F151" s="1546"/>
      <c r="G151" s="1547"/>
      <c r="I151" s="1545"/>
      <c r="J151" s="1546"/>
      <c r="K151" s="1546"/>
      <c r="L151" s="1546"/>
      <c r="M151" s="1546"/>
      <c r="N151" s="1546"/>
      <c r="O151" s="1547"/>
      <c r="Q151" s="158"/>
    </row>
    <row r="152" spans="2:17" ht="16" thickBot="1" x14ac:dyDescent="0.45">
      <c r="Q152" s="158"/>
    </row>
    <row r="153" spans="2:17" ht="16" thickBot="1" x14ac:dyDescent="0.45">
      <c r="B153" s="177" t="s">
        <v>875</v>
      </c>
      <c r="C153" s="149"/>
      <c r="D153" s="149"/>
      <c r="E153" s="149"/>
      <c r="F153" s="149"/>
      <c r="G153" s="132"/>
      <c r="I153" s="177" t="s">
        <v>876</v>
      </c>
      <c r="J153" s="149"/>
      <c r="K153" s="149"/>
      <c r="L153" s="149"/>
      <c r="M153" s="149"/>
      <c r="N153" s="149"/>
      <c r="O153" s="132"/>
      <c r="Q153" s="158"/>
    </row>
    <row r="154" spans="2:17" x14ac:dyDescent="0.4">
      <c r="B154" s="1542"/>
      <c r="C154" s="1543"/>
      <c r="D154" s="1543"/>
      <c r="E154" s="1543"/>
      <c r="F154" s="1543"/>
      <c r="G154" s="1544"/>
      <c r="I154" s="1542"/>
      <c r="J154" s="1543"/>
      <c r="K154" s="1543"/>
      <c r="L154" s="1543"/>
      <c r="M154" s="1543"/>
      <c r="N154" s="1543"/>
      <c r="O154" s="1544"/>
      <c r="Q154" s="158"/>
    </row>
    <row r="155" spans="2:17" x14ac:dyDescent="0.4">
      <c r="B155" s="1542"/>
      <c r="C155" s="1543"/>
      <c r="D155" s="1543"/>
      <c r="E155" s="1543"/>
      <c r="F155" s="1543"/>
      <c r="G155" s="1544"/>
      <c r="I155" s="1542"/>
      <c r="J155" s="1543"/>
      <c r="K155" s="1543"/>
      <c r="L155" s="1543"/>
      <c r="M155" s="1543"/>
      <c r="N155" s="1543"/>
      <c r="O155" s="1544"/>
      <c r="Q155" s="158"/>
    </row>
    <row r="156" spans="2:17" x14ac:dyDescent="0.4">
      <c r="B156" s="1542"/>
      <c r="C156" s="1543"/>
      <c r="D156" s="1543"/>
      <c r="E156" s="1543"/>
      <c r="F156" s="1543"/>
      <c r="G156" s="1544"/>
      <c r="I156" s="1542"/>
      <c r="J156" s="1543"/>
      <c r="K156" s="1543"/>
      <c r="L156" s="1543"/>
      <c r="M156" s="1543"/>
      <c r="N156" s="1543"/>
      <c r="O156" s="1544"/>
      <c r="Q156" s="158"/>
    </row>
    <row r="157" spans="2:17" x14ac:dyDescent="0.4">
      <c r="B157" s="1542"/>
      <c r="C157" s="1543"/>
      <c r="D157" s="1543"/>
      <c r="E157" s="1543"/>
      <c r="F157" s="1543"/>
      <c r="G157" s="1544"/>
      <c r="I157" s="1542"/>
      <c r="J157" s="1543"/>
      <c r="K157" s="1543"/>
      <c r="L157" s="1543"/>
      <c r="M157" s="1543"/>
      <c r="N157" s="1543"/>
      <c r="O157" s="1544"/>
      <c r="Q157" s="158"/>
    </row>
    <row r="158" spans="2:17" x14ac:dyDescent="0.4">
      <c r="B158" s="1542"/>
      <c r="C158" s="1543"/>
      <c r="D158" s="1543"/>
      <c r="E158" s="1543"/>
      <c r="F158" s="1543"/>
      <c r="G158" s="1544"/>
      <c r="I158" s="1542"/>
      <c r="J158" s="1543"/>
      <c r="K158" s="1543"/>
      <c r="L158" s="1543"/>
      <c r="M158" s="1543"/>
      <c r="N158" s="1543"/>
      <c r="O158" s="1544"/>
      <c r="Q158" s="158"/>
    </row>
    <row r="159" spans="2:17" x14ac:dyDescent="0.4">
      <c r="B159" s="1542"/>
      <c r="C159" s="1543"/>
      <c r="D159" s="1543"/>
      <c r="E159" s="1543"/>
      <c r="F159" s="1543"/>
      <c r="G159" s="1544"/>
      <c r="I159" s="1542"/>
      <c r="J159" s="1543"/>
      <c r="K159" s="1543"/>
      <c r="L159" s="1543"/>
      <c r="M159" s="1543"/>
      <c r="N159" s="1543"/>
      <c r="O159" s="1544"/>
      <c r="Q159" s="158"/>
    </row>
    <row r="160" spans="2:17" x14ac:dyDescent="0.4">
      <c r="B160" s="1542"/>
      <c r="C160" s="1543"/>
      <c r="D160" s="1543"/>
      <c r="E160" s="1543"/>
      <c r="F160" s="1543"/>
      <c r="G160" s="1544"/>
      <c r="I160" s="1542"/>
      <c r="J160" s="1543"/>
      <c r="K160" s="1543"/>
      <c r="L160" s="1543"/>
      <c r="M160" s="1543"/>
      <c r="N160" s="1543"/>
      <c r="O160" s="1544"/>
      <c r="Q160" s="158"/>
    </row>
    <row r="161" spans="2:17" x14ac:dyDescent="0.4">
      <c r="B161" s="1542"/>
      <c r="C161" s="1543"/>
      <c r="D161" s="1543"/>
      <c r="E161" s="1543"/>
      <c r="F161" s="1543"/>
      <c r="G161" s="1544"/>
      <c r="I161" s="1542"/>
      <c r="J161" s="1543"/>
      <c r="K161" s="1543"/>
      <c r="L161" s="1543"/>
      <c r="M161" s="1543"/>
      <c r="N161" s="1543"/>
      <c r="O161" s="1544"/>
      <c r="Q161" s="158"/>
    </row>
    <row r="162" spans="2:17" x14ac:dyDescent="0.4">
      <c r="B162" s="1542"/>
      <c r="C162" s="1543"/>
      <c r="D162" s="1543"/>
      <c r="E162" s="1543"/>
      <c r="F162" s="1543"/>
      <c r="G162" s="1544"/>
      <c r="I162" s="1542"/>
      <c r="J162" s="1543"/>
      <c r="K162" s="1543"/>
      <c r="L162" s="1543"/>
      <c r="M162" s="1543"/>
      <c r="N162" s="1543"/>
      <c r="O162" s="1544"/>
      <c r="Q162" s="158"/>
    </row>
    <row r="163" spans="2:17" x14ac:dyDescent="0.4">
      <c r="B163" s="1542"/>
      <c r="C163" s="1543"/>
      <c r="D163" s="1543"/>
      <c r="E163" s="1543"/>
      <c r="F163" s="1543"/>
      <c r="G163" s="1544"/>
      <c r="I163" s="1542"/>
      <c r="J163" s="1543"/>
      <c r="K163" s="1543"/>
      <c r="L163" s="1543"/>
      <c r="M163" s="1543"/>
      <c r="N163" s="1543"/>
      <c r="O163" s="1544"/>
      <c r="Q163" s="158"/>
    </row>
    <row r="164" spans="2:17" x14ac:dyDescent="0.4">
      <c r="B164" s="1542"/>
      <c r="C164" s="1543"/>
      <c r="D164" s="1543"/>
      <c r="E164" s="1543"/>
      <c r="F164" s="1543"/>
      <c r="G164" s="1544"/>
      <c r="I164" s="1542"/>
      <c r="J164" s="1543"/>
      <c r="K164" s="1543"/>
      <c r="L164" s="1543"/>
      <c r="M164" s="1543"/>
      <c r="N164" s="1543"/>
      <c r="O164" s="1544"/>
      <c r="Q164" s="158"/>
    </row>
    <row r="165" spans="2:17" x14ac:dyDescent="0.4">
      <c r="B165" s="1542"/>
      <c r="C165" s="1543"/>
      <c r="D165" s="1543"/>
      <c r="E165" s="1543"/>
      <c r="F165" s="1543"/>
      <c r="G165" s="1544"/>
      <c r="I165" s="1542"/>
      <c r="J165" s="1543"/>
      <c r="K165" s="1543"/>
      <c r="L165" s="1543"/>
      <c r="M165" s="1543"/>
      <c r="N165" s="1543"/>
      <c r="O165" s="1544"/>
      <c r="Q165" s="158"/>
    </row>
    <row r="166" spans="2:17" x14ac:dyDescent="0.4">
      <c r="B166" s="1542"/>
      <c r="C166" s="1543"/>
      <c r="D166" s="1543"/>
      <c r="E166" s="1543"/>
      <c r="F166" s="1543"/>
      <c r="G166" s="1544"/>
      <c r="I166" s="1542"/>
      <c r="J166" s="1543"/>
      <c r="K166" s="1543"/>
      <c r="L166" s="1543"/>
      <c r="M166" s="1543"/>
      <c r="N166" s="1543"/>
      <c r="O166" s="1544"/>
      <c r="Q166" s="158"/>
    </row>
    <row r="167" spans="2:17" x14ac:dyDescent="0.4">
      <c r="B167" s="1542"/>
      <c r="C167" s="1543"/>
      <c r="D167" s="1543"/>
      <c r="E167" s="1543"/>
      <c r="F167" s="1543"/>
      <c r="G167" s="1544"/>
      <c r="I167" s="1542"/>
      <c r="J167" s="1543"/>
      <c r="K167" s="1543"/>
      <c r="L167" s="1543"/>
      <c r="M167" s="1543"/>
      <c r="N167" s="1543"/>
      <c r="O167" s="1544"/>
      <c r="Q167" s="158"/>
    </row>
    <row r="168" spans="2:17" x14ac:dyDescent="0.4">
      <c r="B168" s="1542"/>
      <c r="C168" s="1543"/>
      <c r="D168" s="1543"/>
      <c r="E168" s="1543"/>
      <c r="F168" s="1543"/>
      <c r="G168" s="1544"/>
      <c r="I168" s="1542"/>
      <c r="J168" s="1543"/>
      <c r="K168" s="1543"/>
      <c r="L168" s="1543"/>
      <c r="M168" s="1543"/>
      <c r="N168" s="1543"/>
      <c r="O168" s="1544"/>
      <c r="Q168" s="158"/>
    </row>
    <row r="169" spans="2:17" x14ac:dyDescent="0.4">
      <c r="B169" s="1542"/>
      <c r="C169" s="1543"/>
      <c r="D169" s="1543"/>
      <c r="E169" s="1543"/>
      <c r="F169" s="1543"/>
      <c r="G169" s="1544"/>
      <c r="I169" s="1542"/>
      <c r="J169" s="1543"/>
      <c r="K169" s="1543"/>
      <c r="L169" s="1543"/>
      <c r="M169" s="1543"/>
      <c r="N169" s="1543"/>
      <c r="O169" s="1544"/>
      <c r="Q169" s="158"/>
    </row>
    <row r="170" spans="2:17" x14ac:dyDescent="0.4">
      <c r="B170" s="1542"/>
      <c r="C170" s="1543"/>
      <c r="D170" s="1543"/>
      <c r="E170" s="1543"/>
      <c r="F170" s="1543"/>
      <c r="G170" s="1544"/>
      <c r="I170" s="1542"/>
      <c r="J170" s="1543"/>
      <c r="K170" s="1543"/>
      <c r="L170" s="1543"/>
      <c r="M170" s="1543"/>
      <c r="N170" s="1543"/>
      <c r="O170" s="1544"/>
      <c r="Q170" s="158"/>
    </row>
    <row r="171" spans="2:17" x14ac:dyDescent="0.4">
      <c r="B171" s="1542"/>
      <c r="C171" s="1543"/>
      <c r="D171" s="1543"/>
      <c r="E171" s="1543"/>
      <c r="F171" s="1543"/>
      <c r="G171" s="1544"/>
      <c r="I171" s="1542"/>
      <c r="J171" s="1543"/>
      <c r="K171" s="1543"/>
      <c r="L171" s="1543"/>
      <c r="M171" s="1543"/>
      <c r="N171" s="1543"/>
      <c r="O171" s="1544"/>
      <c r="Q171" s="158"/>
    </row>
    <row r="172" spans="2:17" x14ac:dyDescent="0.4">
      <c r="B172" s="1542"/>
      <c r="C172" s="1543"/>
      <c r="D172" s="1543"/>
      <c r="E172" s="1543"/>
      <c r="F172" s="1543"/>
      <c r="G172" s="1544"/>
      <c r="I172" s="1542"/>
      <c r="J172" s="1543"/>
      <c r="K172" s="1543"/>
      <c r="L172" s="1543"/>
      <c r="M172" s="1543"/>
      <c r="N172" s="1543"/>
      <c r="O172" s="1544"/>
      <c r="Q172" s="158"/>
    </row>
    <row r="173" spans="2:17" x14ac:dyDescent="0.4">
      <c r="B173" s="1542"/>
      <c r="C173" s="1543"/>
      <c r="D173" s="1543"/>
      <c r="E173" s="1543"/>
      <c r="F173" s="1543"/>
      <c r="G173" s="1544"/>
      <c r="I173" s="1542"/>
      <c r="J173" s="1543"/>
      <c r="K173" s="1543"/>
      <c r="L173" s="1543"/>
      <c r="M173" s="1543"/>
      <c r="N173" s="1543"/>
      <c r="O173" s="1544"/>
      <c r="Q173" s="158"/>
    </row>
    <row r="174" spans="2:17" ht="16" thickBot="1" x14ac:dyDescent="0.45">
      <c r="B174" s="1545"/>
      <c r="C174" s="1546"/>
      <c r="D174" s="1546"/>
      <c r="E174" s="1546"/>
      <c r="F174" s="1546"/>
      <c r="G174" s="1547"/>
      <c r="I174" s="1545"/>
      <c r="J174" s="1546"/>
      <c r="K174" s="1546"/>
      <c r="L174" s="1546"/>
      <c r="M174" s="1546"/>
      <c r="N174" s="1546"/>
      <c r="O174" s="1547"/>
      <c r="Q174" s="158"/>
    </row>
    <row r="175" spans="2:17" ht="16" thickBot="1" x14ac:dyDescent="0.45">
      <c r="Q175" s="158"/>
    </row>
    <row r="176" spans="2:17" ht="16" thickBot="1" x14ac:dyDescent="0.45">
      <c r="B176" s="177" t="s">
        <v>869</v>
      </c>
      <c r="C176" s="149"/>
      <c r="D176" s="149"/>
      <c r="E176" s="149"/>
      <c r="F176" s="149"/>
      <c r="G176" s="149"/>
      <c r="H176" s="149"/>
      <c r="I176" s="149"/>
      <c r="J176" s="149"/>
      <c r="K176" s="149"/>
      <c r="L176" s="149"/>
      <c r="M176" s="149"/>
      <c r="N176" s="149"/>
      <c r="O176" s="132"/>
      <c r="Q176" s="158"/>
    </row>
    <row r="177" spans="2:17" x14ac:dyDescent="0.4">
      <c r="B177" s="1542"/>
      <c r="C177" s="1543"/>
      <c r="D177" s="1543"/>
      <c r="E177" s="1543"/>
      <c r="F177" s="1543"/>
      <c r="G177" s="1543"/>
      <c r="H177" s="1543"/>
      <c r="I177" s="1543"/>
      <c r="J177" s="1543"/>
      <c r="K177" s="1543"/>
      <c r="L177" s="1543"/>
      <c r="M177" s="1543"/>
      <c r="N177" s="1543"/>
      <c r="O177" s="1544"/>
      <c r="Q177" s="158"/>
    </row>
    <row r="178" spans="2:17" x14ac:dyDescent="0.4">
      <c r="B178" s="1542"/>
      <c r="C178" s="1543"/>
      <c r="D178" s="1543"/>
      <c r="E178" s="1543"/>
      <c r="F178" s="1543"/>
      <c r="G178" s="1543"/>
      <c r="H178" s="1543"/>
      <c r="I178" s="1543"/>
      <c r="J178" s="1543"/>
      <c r="K178" s="1543"/>
      <c r="L178" s="1543"/>
      <c r="M178" s="1543"/>
      <c r="N178" s="1543"/>
      <c r="O178" s="1544"/>
      <c r="Q178" s="158"/>
    </row>
    <row r="179" spans="2:17" x14ac:dyDescent="0.4">
      <c r="B179" s="1542"/>
      <c r="C179" s="1543"/>
      <c r="D179" s="1543"/>
      <c r="E179" s="1543"/>
      <c r="F179" s="1543"/>
      <c r="G179" s="1543"/>
      <c r="H179" s="1543"/>
      <c r="I179" s="1543"/>
      <c r="J179" s="1543"/>
      <c r="K179" s="1543"/>
      <c r="L179" s="1543"/>
      <c r="M179" s="1543"/>
      <c r="N179" s="1543"/>
      <c r="O179" s="1544"/>
      <c r="Q179" s="158"/>
    </row>
    <row r="180" spans="2:17" x14ac:dyDescent="0.4">
      <c r="B180" s="1542"/>
      <c r="C180" s="1543"/>
      <c r="D180" s="1543"/>
      <c r="E180" s="1543"/>
      <c r="F180" s="1543"/>
      <c r="G180" s="1543"/>
      <c r="H180" s="1543"/>
      <c r="I180" s="1543"/>
      <c r="J180" s="1543"/>
      <c r="K180" s="1543"/>
      <c r="L180" s="1543"/>
      <c r="M180" s="1543"/>
      <c r="N180" s="1543"/>
      <c r="O180" s="1544"/>
      <c r="Q180" s="158"/>
    </row>
    <row r="181" spans="2:17" x14ac:dyDescent="0.4">
      <c r="B181" s="1542"/>
      <c r="C181" s="1543"/>
      <c r="D181" s="1543"/>
      <c r="E181" s="1543"/>
      <c r="F181" s="1543"/>
      <c r="G181" s="1543"/>
      <c r="H181" s="1543"/>
      <c r="I181" s="1543"/>
      <c r="J181" s="1543"/>
      <c r="K181" s="1543"/>
      <c r="L181" s="1543"/>
      <c r="M181" s="1543"/>
      <c r="N181" s="1543"/>
      <c r="O181" s="1544"/>
      <c r="Q181" s="158"/>
    </row>
    <row r="182" spans="2:17" x14ac:dyDescent="0.4">
      <c r="B182" s="1542"/>
      <c r="C182" s="1543"/>
      <c r="D182" s="1543"/>
      <c r="E182" s="1543"/>
      <c r="F182" s="1543"/>
      <c r="G182" s="1543"/>
      <c r="H182" s="1543"/>
      <c r="I182" s="1543"/>
      <c r="J182" s="1543"/>
      <c r="K182" s="1543"/>
      <c r="L182" s="1543"/>
      <c r="M182" s="1543"/>
      <c r="N182" s="1543"/>
      <c r="O182" s="1544"/>
      <c r="Q182" s="158"/>
    </row>
    <row r="183" spans="2:17" x14ac:dyDescent="0.4">
      <c r="B183" s="1542"/>
      <c r="C183" s="1543"/>
      <c r="D183" s="1543"/>
      <c r="E183" s="1543"/>
      <c r="F183" s="1543"/>
      <c r="G183" s="1543"/>
      <c r="H183" s="1543"/>
      <c r="I183" s="1543"/>
      <c r="J183" s="1543"/>
      <c r="K183" s="1543"/>
      <c r="L183" s="1543"/>
      <c r="M183" s="1543"/>
      <c r="N183" s="1543"/>
      <c r="O183" s="1544"/>
      <c r="Q183" s="158"/>
    </row>
    <row r="184" spans="2:17" x14ac:dyDescent="0.4">
      <c r="B184" s="1542"/>
      <c r="C184" s="1543"/>
      <c r="D184" s="1543"/>
      <c r="E184" s="1543"/>
      <c r="F184" s="1543"/>
      <c r="G184" s="1543"/>
      <c r="H184" s="1543"/>
      <c r="I184" s="1543"/>
      <c r="J184" s="1543"/>
      <c r="K184" s="1543"/>
      <c r="L184" s="1543"/>
      <c r="M184" s="1543"/>
      <c r="N184" s="1543"/>
      <c r="O184" s="1544"/>
      <c r="Q184" s="158"/>
    </row>
    <row r="185" spans="2:17" x14ac:dyDescent="0.4">
      <c r="B185" s="1542"/>
      <c r="C185" s="1543"/>
      <c r="D185" s="1543"/>
      <c r="E185" s="1543"/>
      <c r="F185" s="1543"/>
      <c r="G185" s="1543"/>
      <c r="H185" s="1543"/>
      <c r="I185" s="1543"/>
      <c r="J185" s="1543"/>
      <c r="K185" s="1543"/>
      <c r="L185" s="1543"/>
      <c r="M185" s="1543"/>
      <c r="N185" s="1543"/>
      <c r="O185" s="1544"/>
      <c r="Q185" s="158"/>
    </row>
    <row r="186" spans="2:17" x14ac:dyDescent="0.4">
      <c r="B186" s="1542"/>
      <c r="C186" s="1543"/>
      <c r="D186" s="1543"/>
      <c r="E186" s="1543"/>
      <c r="F186" s="1543"/>
      <c r="G186" s="1543"/>
      <c r="H186" s="1543"/>
      <c r="I186" s="1543"/>
      <c r="J186" s="1543"/>
      <c r="K186" s="1543"/>
      <c r="L186" s="1543"/>
      <c r="M186" s="1543"/>
      <c r="N186" s="1543"/>
      <c r="O186" s="1544"/>
      <c r="Q186" s="158"/>
    </row>
    <row r="187" spans="2:17" x14ac:dyDescent="0.4">
      <c r="B187" s="1542"/>
      <c r="C187" s="1543"/>
      <c r="D187" s="1543"/>
      <c r="E187" s="1543"/>
      <c r="F187" s="1543"/>
      <c r="G187" s="1543"/>
      <c r="H187" s="1543"/>
      <c r="I187" s="1543"/>
      <c r="J187" s="1543"/>
      <c r="K187" s="1543"/>
      <c r="L187" s="1543"/>
      <c r="M187" s="1543"/>
      <c r="N187" s="1543"/>
      <c r="O187" s="1544"/>
      <c r="Q187" s="158"/>
    </row>
    <row r="188" spans="2:17" x14ac:dyDescent="0.4">
      <c r="B188" s="1542"/>
      <c r="C188" s="1543"/>
      <c r="D188" s="1543"/>
      <c r="E188" s="1543"/>
      <c r="F188" s="1543"/>
      <c r="G188" s="1543"/>
      <c r="H188" s="1543"/>
      <c r="I188" s="1543"/>
      <c r="J188" s="1543"/>
      <c r="K188" s="1543"/>
      <c r="L188" s="1543"/>
      <c r="M188" s="1543"/>
      <c r="N188" s="1543"/>
      <c r="O188" s="1544"/>
      <c r="Q188" s="158"/>
    </row>
    <row r="189" spans="2:17" x14ac:dyDescent="0.4">
      <c r="B189" s="1542"/>
      <c r="C189" s="1543"/>
      <c r="D189" s="1543"/>
      <c r="E189" s="1543"/>
      <c r="F189" s="1543"/>
      <c r="G189" s="1543"/>
      <c r="H189" s="1543"/>
      <c r="I189" s="1543"/>
      <c r="J189" s="1543"/>
      <c r="K189" s="1543"/>
      <c r="L189" s="1543"/>
      <c r="M189" s="1543"/>
      <c r="N189" s="1543"/>
      <c r="O189" s="1544"/>
      <c r="Q189" s="158"/>
    </row>
    <row r="190" spans="2:17" x14ac:dyDescent="0.4">
      <c r="B190" s="1542"/>
      <c r="C190" s="1543"/>
      <c r="D190" s="1543"/>
      <c r="E190" s="1543"/>
      <c r="F190" s="1543"/>
      <c r="G190" s="1543"/>
      <c r="H190" s="1543"/>
      <c r="I190" s="1543"/>
      <c r="J190" s="1543"/>
      <c r="K190" s="1543"/>
      <c r="L190" s="1543"/>
      <c r="M190" s="1543"/>
      <c r="N190" s="1543"/>
      <c r="O190" s="1544"/>
      <c r="Q190" s="158"/>
    </row>
    <row r="191" spans="2:17" x14ac:dyDescent="0.4">
      <c r="B191" s="1542"/>
      <c r="C191" s="1543"/>
      <c r="D191" s="1543"/>
      <c r="E191" s="1543"/>
      <c r="F191" s="1543"/>
      <c r="G191" s="1543"/>
      <c r="H191" s="1543"/>
      <c r="I191" s="1543"/>
      <c r="J191" s="1543"/>
      <c r="K191" s="1543"/>
      <c r="L191" s="1543"/>
      <c r="M191" s="1543"/>
      <c r="N191" s="1543"/>
      <c r="O191" s="1544"/>
      <c r="Q191" s="158"/>
    </row>
    <row r="192" spans="2:17" x14ac:dyDescent="0.4">
      <c r="B192" s="1542"/>
      <c r="C192" s="1543"/>
      <c r="D192" s="1543"/>
      <c r="E192" s="1543"/>
      <c r="F192" s="1543"/>
      <c r="G192" s="1543"/>
      <c r="H192" s="1543"/>
      <c r="I192" s="1543"/>
      <c r="J192" s="1543"/>
      <c r="K192" s="1543"/>
      <c r="L192" s="1543"/>
      <c r="M192" s="1543"/>
      <c r="N192" s="1543"/>
      <c r="O192" s="1544"/>
      <c r="Q192" s="158"/>
    </row>
    <row r="193" spans="2:17" x14ac:dyDescent="0.4">
      <c r="B193" s="1542"/>
      <c r="C193" s="1543"/>
      <c r="D193" s="1543"/>
      <c r="E193" s="1543"/>
      <c r="F193" s="1543"/>
      <c r="G193" s="1543"/>
      <c r="H193" s="1543"/>
      <c r="I193" s="1543"/>
      <c r="J193" s="1543"/>
      <c r="K193" s="1543"/>
      <c r="L193" s="1543"/>
      <c r="M193" s="1543"/>
      <c r="N193" s="1543"/>
      <c r="O193" s="1544"/>
      <c r="Q193" s="158"/>
    </row>
    <row r="194" spans="2:17" x14ac:dyDescent="0.4">
      <c r="B194" s="1542"/>
      <c r="C194" s="1543"/>
      <c r="D194" s="1543"/>
      <c r="E194" s="1543"/>
      <c r="F194" s="1543"/>
      <c r="G194" s="1543"/>
      <c r="H194" s="1543"/>
      <c r="I194" s="1543"/>
      <c r="J194" s="1543"/>
      <c r="K194" s="1543"/>
      <c r="L194" s="1543"/>
      <c r="M194" s="1543"/>
      <c r="N194" s="1543"/>
      <c r="O194" s="1544"/>
      <c r="Q194" s="158"/>
    </row>
    <row r="195" spans="2:17" x14ac:dyDescent="0.4">
      <c r="B195" s="1542"/>
      <c r="C195" s="1543"/>
      <c r="D195" s="1543"/>
      <c r="E195" s="1543"/>
      <c r="F195" s="1543"/>
      <c r="G195" s="1543"/>
      <c r="H195" s="1543"/>
      <c r="I195" s="1543"/>
      <c r="J195" s="1543"/>
      <c r="K195" s="1543"/>
      <c r="L195" s="1543"/>
      <c r="M195" s="1543"/>
      <c r="N195" s="1543"/>
      <c r="O195" s="1544"/>
      <c r="Q195" s="158"/>
    </row>
    <row r="196" spans="2:17" x14ac:dyDescent="0.4">
      <c r="B196" s="1542"/>
      <c r="C196" s="1543"/>
      <c r="D196" s="1543"/>
      <c r="E196" s="1543"/>
      <c r="F196" s="1543"/>
      <c r="G196" s="1543"/>
      <c r="H196" s="1543"/>
      <c r="I196" s="1543"/>
      <c r="J196" s="1543"/>
      <c r="K196" s="1543"/>
      <c r="L196" s="1543"/>
      <c r="M196" s="1543"/>
      <c r="N196" s="1543"/>
      <c r="O196" s="1544"/>
      <c r="Q196" s="158"/>
    </row>
    <row r="197" spans="2:17" x14ac:dyDescent="0.4">
      <c r="B197" s="1542"/>
      <c r="C197" s="1543"/>
      <c r="D197" s="1543"/>
      <c r="E197" s="1543"/>
      <c r="F197" s="1543"/>
      <c r="G197" s="1543"/>
      <c r="H197" s="1543"/>
      <c r="I197" s="1543"/>
      <c r="J197" s="1543"/>
      <c r="K197" s="1543"/>
      <c r="L197" s="1543"/>
      <c r="M197" s="1543"/>
      <c r="N197" s="1543"/>
      <c r="O197" s="1544"/>
      <c r="Q197" s="158"/>
    </row>
    <row r="198" spans="2:17" ht="16" thickBot="1" x14ac:dyDescent="0.45">
      <c r="B198" s="1545"/>
      <c r="C198" s="1546"/>
      <c r="D198" s="1546"/>
      <c r="E198" s="1546"/>
      <c r="F198" s="1546"/>
      <c r="G198" s="1546"/>
      <c r="H198" s="1546"/>
      <c r="I198" s="1546"/>
      <c r="J198" s="1546"/>
      <c r="K198" s="1546"/>
      <c r="L198" s="1546"/>
      <c r="M198" s="1546"/>
      <c r="N198" s="1546"/>
      <c r="O198" s="1547"/>
      <c r="Q198" s="158"/>
    </row>
    <row r="199" spans="2:17" ht="16" thickBot="1" x14ac:dyDescent="0.45">
      <c r="Q199" s="158"/>
    </row>
    <row r="200" spans="2:17" ht="16" thickBot="1" x14ac:dyDescent="0.45">
      <c r="B200" s="177" t="s">
        <v>877</v>
      </c>
      <c r="C200" s="149"/>
      <c r="D200" s="149"/>
      <c r="E200" s="149"/>
      <c r="F200" s="149"/>
      <c r="G200" s="149"/>
      <c r="H200" s="149"/>
      <c r="I200" s="149"/>
      <c r="J200" s="149"/>
      <c r="K200" s="149"/>
      <c r="L200" s="149"/>
      <c r="M200" s="149"/>
      <c r="N200" s="149"/>
      <c r="O200" s="132"/>
      <c r="Q200" s="158"/>
    </row>
    <row r="201" spans="2:17" x14ac:dyDescent="0.4">
      <c r="B201" s="1542"/>
      <c r="C201" s="1543"/>
      <c r="D201" s="1543"/>
      <c r="E201" s="1543"/>
      <c r="F201" s="1543"/>
      <c r="G201" s="1543"/>
      <c r="H201" s="1543"/>
      <c r="I201" s="1543"/>
      <c r="J201" s="1543"/>
      <c r="K201" s="1543"/>
      <c r="L201" s="1543"/>
      <c r="M201" s="1543"/>
      <c r="N201" s="1543"/>
      <c r="O201" s="1544"/>
      <c r="Q201" s="158"/>
    </row>
    <row r="202" spans="2:17" x14ac:dyDescent="0.4">
      <c r="B202" s="1542"/>
      <c r="C202" s="1543"/>
      <c r="D202" s="1543"/>
      <c r="E202" s="1543"/>
      <c r="F202" s="1543"/>
      <c r="G202" s="1543"/>
      <c r="H202" s="1543"/>
      <c r="I202" s="1543"/>
      <c r="J202" s="1543"/>
      <c r="K202" s="1543"/>
      <c r="L202" s="1543"/>
      <c r="M202" s="1543"/>
      <c r="N202" s="1543"/>
      <c r="O202" s="1544"/>
      <c r="Q202" s="158"/>
    </row>
    <row r="203" spans="2:17" x14ac:dyDescent="0.4">
      <c r="B203" s="1542"/>
      <c r="C203" s="1543"/>
      <c r="D203" s="1543"/>
      <c r="E203" s="1543"/>
      <c r="F203" s="1543"/>
      <c r="G203" s="1543"/>
      <c r="H203" s="1543"/>
      <c r="I203" s="1543"/>
      <c r="J203" s="1543"/>
      <c r="K203" s="1543"/>
      <c r="L203" s="1543"/>
      <c r="M203" s="1543"/>
      <c r="N203" s="1543"/>
      <c r="O203" s="1544"/>
      <c r="Q203" s="158"/>
    </row>
    <row r="204" spans="2:17" x14ac:dyDescent="0.4">
      <c r="B204" s="1542"/>
      <c r="C204" s="1543"/>
      <c r="D204" s="1543"/>
      <c r="E204" s="1543"/>
      <c r="F204" s="1543"/>
      <c r="G204" s="1543"/>
      <c r="H204" s="1543"/>
      <c r="I204" s="1543"/>
      <c r="J204" s="1543"/>
      <c r="K204" s="1543"/>
      <c r="L204" s="1543"/>
      <c r="M204" s="1543"/>
      <c r="N204" s="1543"/>
      <c r="O204" s="1544"/>
      <c r="Q204" s="158"/>
    </row>
    <row r="205" spans="2:17" x14ac:dyDescent="0.4">
      <c r="B205" s="1542"/>
      <c r="C205" s="1543"/>
      <c r="D205" s="1543"/>
      <c r="E205" s="1543"/>
      <c r="F205" s="1543"/>
      <c r="G205" s="1543"/>
      <c r="H205" s="1543"/>
      <c r="I205" s="1543"/>
      <c r="J205" s="1543"/>
      <c r="K205" s="1543"/>
      <c r="L205" s="1543"/>
      <c r="M205" s="1543"/>
      <c r="N205" s="1543"/>
      <c r="O205" s="1544"/>
      <c r="Q205" s="158"/>
    </row>
    <row r="206" spans="2:17" x14ac:dyDescent="0.4">
      <c r="B206" s="1542"/>
      <c r="C206" s="1543"/>
      <c r="D206" s="1543"/>
      <c r="E206" s="1543"/>
      <c r="F206" s="1543"/>
      <c r="G206" s="1543"/>
      <c r="H206" s="1543"/>
      <c r="I206" s="1543"/>
      <c r="J206" s="1543"/>
      <c r="K206" s="1543"/>
      <c r="L206" s="1543"/>
      <c r="M206" s="1543"/>
      <c r="N206" s="1543"/>
      <c r="O206" s="1544"/>
      <c r="Q206" s="158"/>
    </row>
    <row r="207" spans="2:17" x14ac:dyDescent="0.4">
      <c r="B207" s="1542"/>
      <c r="C207" s="1543"/>
      <c r="D207" s="1543"/>
      <c r="E207" s="1543"/>
      <c r="F207" s="1543"/>
      <c r="G207" s="1543"/>
      <c r="H207" s="1543"/>
      <c r="I207" s="1543"/>
      <c r="J207" s="1543"/>
      <c r="K207" s="1543"/>
      <c r="L207" s="1543"/>
      <c r="M207" s="1543"/>
      <c r="N207" s="1543"/>
      <c r="O207" s="1544"/>
      <c r="Q207" s="158"/>
    </row>
    <row r="208" spans="2:17" x14ac:dyDescent="0.4">
      <c r="B208" s="1542"/>
      <c r="C208" s="1543"/>
      <c r="D208" s="1543"/>
      <c r="E208" s="1543"/>
      <c r="F208" s="1543"/>
      <c r="G208" s="1543"/>
      <c r="H208" s="1543"/>
      <c r="I208" s="1543"/>
      <c r="J208" s="1543"/>
      <c r="K208" s="1543"/>
      <c r="L208" s="1543"/>
      <c r="M208" s="1543"/>
      <c r="N208" s="1543"/>
      <c r="O208" s="1544"/>
      <c r="Q208" s="158"/>
    </row>
    <row r="209" spans="1:17" x14ac:dyDescent="0.4">
      <c r="B209" s="1542"/>
      <c r="C209" s="1543"/>
      <c r="D209" s="1543"/>
      <c r="E209" s="1543"/>
      <c r="F209" s="1543"/>
      <c r="G209" s="1543"/>
      <c r="H209" s="1543"/>
      <c r="I209" s="1543"/>
      <c r="J209" s="1543"/>
      <c r="K209" s="1543"/>
      <c r="L209" s="1543"/>
      <c r="M209" s="1543"/>
      <c r="N209" s="1543"/>
      <c r="O209" s="1544"/>
      <c r="Q209" s="158"/>
    </row>
    <row r="210" spans="1:17" x14ac:dyDescent="0.4">
      <c r="B210" s="1542"/>
      <c r="C210" s="1543"/>
      <c r="D210" s="1543"/>
      <c r="E210" s="1543"/>
      <c r="F210" s="1543"/>
      <c r="G210" s="1543"/>
      <c r="H210" s="1543"/>
      <c r="I210" s="1543"/>
      <c r="J210" s="1543"/>
      <c r="K210" s="1543"/>
      <c r="L210" s="1543"/>
      <c r="M210" s="1543"/>
      <c r="N210" s="1543"/>
      <c r="O210" s="1544"/>
      <c r="Q210" s="158"/>
    </row>
    <row r="211" spans="1:17" x14ac:dyDescent="0.4">
      <c r="B211" s="1542"/>
      <c r="C211" s="1543"/>
      <c r="D211" s="1543"/>
      <c r="E211" s="1543"/>
      <c r="F211" s="1543"/>
      <c r="G211" s="1543"/>
      <c r="H211" s="1543"/>
      <c r="I211" s="1543"/>
      <c r="J211" s="1543"/>
      <c r="K211" s="1543"/>
      <c r="L211" s="1543"/>
      <c r="M211" s="1543"/>
      <c r="N211" s="1543"/>
      <c r="O211" s="1544"/>
      <c r="Q211" s="158"/>
    </row>
    <row r="212" spans="1:17" x14ac:dyDescent="0.4">
      <c r="B212" s="1542"/>
      <c r="C212" s="1543"/>
      <c r="D212" s="1543"/>
      <c r="E212" s="1543"/>
      <c r="F212" s="1543"/>
      <c r="G212" s="1543"/>
      <c r="H212" s="1543"/>
      <c r="I212" s="1543"/>
      <c r="J212" s="1543"/>
      <c r="K212" s="1543"/>
      <c r="L212" s="1543"/>
      <c r="M212" s="1543"/>
      <c r="N212" s="1543"/>
      <c r="O212" s="1544"/>
      <c r="Q212" s="158"/>
    </row>
    <row r="213" spans="1:17" x14ac:dyDescent="0.4">
      <c r="B213" s="1542"/>
      <c r="C213" s="1543"/>
      <c r="D213" s="1543"/>
      <c r="E213" s="1543"/>
      <c r="F213" s="1543"/>
      <c r="G213" s="1543"/>
      <c r="H213" s="1543"/>
      <c r="I213" s="1543"/>
      <c r="J213" s="1543"/>
      <c r="K213" s="1543"/>
      <c r="L213" s="1543"/>
      <c r="M213" s="1543"/>
      <c r="N213" s="1543"/>
      <c r="O213" s="1544"/>
      <c r="Q213" s="158"/>
    </row>
    <row r="214" spans="1:17" x14ac:dyDescent="0.4">
      <c r="B214" s="1542"/>
      <c r="C214" s="1543"/>
      <c r="D214" s="1543"/>
      <c r="E214" s="1543"/>
      <c r="F214" s="1543"/>
      <c r="G214" s="1543"/>
      <c r="H214" s="1543"/>
      <c r="I214" s="1543"/>
      <c r="J214" s="1543"/>
      <c r="K214" s="1543"/>
      <c r="L214" s="1543"/>
      <c r="M214" s="1543"/>
      <c r="N214" s="1543"/>
      <c r="O214" s="1544"/>
      <c r="Q214" s="158"/>
    </row>
    <row r="215" spans="1:17" x14ac:dyDescent="0.4">
      <c r="B215" s="1542"/>
      <c r="C215" s="1543"/>
      <c r="D215" s="1543"/>
      <c r="E215" s="1543"/>
      <c r="F215" s="1543"/>
      <c r="G215" s="1543"/>
      <c r="H215" s="1543"/>
      <c r="I215" s="1543"/>
      <c r="J215" s="1543"/>
      <c r="K215" s="1543"/>
      <c r="L215" s="1543"/>
      <c r="M215" s="1543"/>
      <c r="N215" s="1543"/>
      <c r="O215" s="1544"/>
      <c r="Q215" s="158"/>
    </row>
    <row r="216" spans="1:17" x14ac:dyDescent="0.4">
      <c r="B216" s="1542"/>
      <c r="C216" s="1543"/>
      <c r="D216" s="1543"/>
      <c r="E216" s="1543"/>
      <c r="F216" s="1543"/>
      <c r="G216" s="1543"/>
      <c r="H216" s="1543"/>
      <c r="I216" s="1543"/>
      <c r="J216" s="1543"/>
      <c r="K216" s="1543"/>
      <c r="L216" s="1543"/>
      <c r="M216" s="1543"/>
      <c r="N216" s="1543"/>
      <c r="O216" s="1544"/>
      <c r="Q216" s="158"/>
    </row>
    <row r="217" spans="1:17" x14ac:dyDescent="0.4">
      <c r="B217" s="1542"/>
      <c r="C217" s="1543"/>
      <c r="D217" s="1543"/>
      <c r="E217" s="1543"/>
      <c r="F217" s="1543"/>
      <c r="G217" s="1543"/>
      <c r="H217" s="1543"/>
      <c r="I217" s="1543"/>
      <c r="J217" s="1543"/>
      <c r="K217" s="1543"/>
      <c r="L217" s="1543"/>
      <c r="M217" s="1543"/>
      <c r="N217" s="1543"/>
      <c r="O217" s="1544"/>
      <c r="Q217" s="158"/>
    </row>
    <row r="218" spans="1:17" x14ac:dyDescent="0.4">
      <c r="B218" s="1542"/>
      <c r="C218" s="1543"/>
      <c r="D218" s="1543"/>
      <c r="E218" s="1543"/>
      <c r="F218" s="1543"/>
      <c r="G218" s="1543"/>
      <c r="H218" s="1543"/>
      <c r="I218" s="1543"/>
      <c r="J218" s="1543"/>
      <c r="K218" s="1543"/>
      <c r="L218" s="1543"/>
      <c r="M218" s="1543"/>
      <c r="N218" s="1543"/>
      <c r="O218" s="1544"/>
      <c r="Q218" s="158"/>
    </row>
    <row r="219" spans="1:17" x14ac:dyDescent="0.4">
      <c r="B219" s="1542"/>
      <c r="C219" s="1543"/>
      <c r="D219" s="1543"/>
      <c r="E219" s="1543"/>
      <c r="F219" s="1543"/>
      <c r="G219" s="1543"/>
      <c r="H219" s="1543"/>
      <c r="I219" s="1543"/>
      <c r="J219" s="1543"/>
      <c r="K219" s="1543"/>
      <c r="L219" s="1543"/>
      <c r="M219" s="1543"/>
      <c r="N219" s="1543"/>
      <c r="O219" s="1544"/>
      <c r="Q219" s="158"/>
    </row>
    <row r="220" spans="1:17" x14ac:dyDescent="0.4">
      <c r="B220" s="1542"/>
      <c r="C220" s="1543"/>
      <c r="D220" s="1543"/>
      <c r="E220" s="1543"/>
      <c r="F220" s="1543"/>
      <c r="G220" s="1543"/>
      <c r="H220" s="1543"/>
      <c r="I220" s="1543"/>
      <c r="J220" s="1543"/>
      <c r="K220" s="1543"/>
      <c r="L220" s="1543"/>
      <c r="M220" s="1543"/>
      <c r="N220" s="1543"/>
      <c r="O220" s="1544"/>
      <c r="Q220" s="158"/>
    </row>
    <row r="221" spans="1:17" x14ac:dyDescent="0.4">
      <c r="B221" s="1542"/>
      <c r="C221" s="1543"/>
      <c r="D221" s="1543"/>
      <c r="E221" s="1543"/>
      <c r="F221" s="1543"/>
      <c r="G221" s="1543"/>
      <c r="H221" s="1543"/>
      <c r="I221" s="1543"/>
      <c r="J221" s="1543"/>
      <c r="K221" s="1543"/>
      <c r="L221" s="1543"/>
      <c r="M221" s="1543"/>
      <c r="N221" s="1543"/>
      <c r="O221" s="1544"/>
      <c r="Q221" s="158"/>
    </row>
    <row r="222" spans="1:17" ht="16" thickBot="1" x14ac:dyDescent="0.45">
      <c r="B222" s="1545"/>
      <c r="C222" s="1546"/>
      <c r="D222" s="1546"/>
      <c r="E222" s="1546"/>
      <c r="F222" s="1546"/>
      <c r="G222" s="1546"/>
      <c r="H222" s="1546"/>
      <c r="I222" s="1546"/>
      <c r="J222" s="1546"/>
      <c r="K222" s="1546"/>
      <c r="L222" s="1546"/>
      <c r="M222" s="1546"/>
      <c r="N222" s="1546"/>
      <c r="O222" s="1547"/>
      <c r="Q222" s="158"/>
    </row>
    <row r="223" spans="1:17" x14ac:dyDescent="0.4">
      <c r="Q223" s="158"/>
    </row>
    <row r="224" spans="1:17" x14ac:dyDescent="0.4">
      <c r="A224" s="158"/>
      <c r="B224" s="158"/>
      <c r="C224" s="158"/>
      <c r="D224" s="158"/>
      <c r="E224" s="158"/>
      <c r="F224" s="158"/>
      <c r="G224" s="158"/>
      <c r="H224" s="158"/>
      <c r="I224" s="158"/>
      <c r="J224" s="158"/>
      <c r="K224" s="158"/>
      <c r="L224" s="158"/>
      <c r="M224" s="158"/>
      <c r="N224" s="158"/>
      <c r="O224" s="158"/>
      <c r="P224" s="158"/>
      <c r="Q224" s="158"/>
    </row>
  </sheetData>
  <sheetProtection algorithmName="SHA-512" hashValue="nI/xNIBbnYlRdUPRW5qlzkmpMDNzr2SicHObwXdLm66C1E6rSukxDgvbpOKOGu0M/yCykR+guYOb6+KW2+mlxg==" saltValue="uw8+Zyj23BzPznTTsVFuJg==" spinCount="100000" sheet="1" selectLockedCells="1"/>
  <mergeCells count="15">
    <mergeCell ref="B2:C2"/>
    <mergeCell ref="B201:O222"/>
    <mergeCell ref="B36:O57"/>
    <mergeCell ref="B108:G128"/>
    <mergeCell ref="I108:O128"/>
    <mergeCell ref="B60:O81"/>
    <mergeCell ref="B84:O105"/>
    <mergeCell ref="B131:G151"/>
    <mergeCell ref="I131:O151"/>
    <mergeCell ref="H4:J4"/>
    <mergeCell ref="D3:F3"/>
    <mergeCell ref="B12:O33"/>
    <mergeCell ref="B154:G174"/>
    <mergeCell ref="I154:O174"/>
    <mergeCell ref="B177:O198"/>
  </mergeCells>
  <phoneticPr fontId="29" type="noConversion"/>
  <hyperlinks>
    <hyperlink ref="H4" location="Instructions!C33" display="Back to Instructions tab" xr:uid="{00000000-0004-0000-0900-000000000000}"/>
  </hyperlinks>
  <printOptions horizontalCentered="1"/>
  <pageMargins left="0.25" right="0.25" top="0.75" bottom="0.25" header="0.3" footer="0.3"/>
  <pageSetup scale="75" fitToHeight="3" orientation="landscape" r:id="rId1"/>
  <headerFooter>
    <oddHeader>&amp;F</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22D80044088AB4A8E9C3F9DD67E6DB5" ma:contentTypeVersion="8" ma:contentTypeDescription="Create a new document." ma:contentTypeScope="" ma:versionID="480f8d5bd6be515f4fa796ca574f591b">
  <xsd:schema xmlns:xsd="http://www.w3.org/2001/XMLSchema" xmlns:xs="http://www.w3.org/2001/XMLSchema" xmlns:p="http://schemas.microsoft.com/office/2006/metadata/properties" xmlns:ns3="431cfb8f-b20a-430d-82b8-fa9b2b876746" targetNamespace="http://schemas.microsoft.com/office/2006/metadata/properties" ma:root="true" ma:fieldsID="51357987651dbd4a8e747da8bd638e8d" ns3:_="">
    <xsd:import namespace="431cfb8f-b20a-430d-82b8-fa9b2b876746"/>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1cfb8f-b20a-430d-82b8-fa9b2b876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EA485A-A43B-49A3-AE42-38EF318E7E5E}">
  <ds:schemaRefs>
    <ds:schemaRef ds:uri="http://purl.org/dc/elements/1.1/"/>
    <ds:schemaRef ds:uri="http://schemas.microsoft.com/office/2006/metadata/properties"/>
    <ds:schemaRef ds:uri="http://schemas.microsoft.com/office/2006/documentManagement/types"/>
    <ds:schemaRef ds:uri="431cfb8f-b20a-430d-82b8-fa9b2b876746"/>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ABE40968-CB88-41BD-984A-98F80656E24F}">
  <ds:schemaRefs>
    <ds:schemaRef ds:uri="http://schemas.microsoft.com/sharepoint/v3/contenttype/forms"/>
  </ds:schemaRefs>
</ds:datastoreItem>
</file>

<file path=customXml/itemProps3.xml><?xml version="1.0" encoding="utf-8"?>
<ds:datastoreItem xmlns:ds="http://schemas.openxmlformats.org/officeDocument/2006/customXml" ds:itemID="{E3C11690-288F-49B6-A44F-0D9E27437F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1cfb8f-b20a-430d-82b8-fa9b2b8767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20</vt:i4>
      </vt:variant>
    </vt:vector>
  </HeadingPairs>
  <TitlesOfParts>
    <vt:vector size="33" baseType="lpstr">
      <vt:lpstr>Instructions</vt:lpstr>
      <vt:lpstr>General Info &amp; Test Results</vt:lpstr>
      <vt:lpstr>Instrumentation</vt:lpstr>
      <vt:lpstr>Test Conditions</vt:lpstr>
      <vt:lpstr>Jacket Loss</vt:lpstr>
      <vt:lpstr>Max Test</vt:lpstr>
      <vt:lpstr>Reduced Test</vt:lpstr>
      <vt:lpstr>Calculations</vt:lpstr>
      <vt:lpstr>Photos</vt:lpstr>
      <vt:lpstr>Comments</vt:lpstr>
      <vt:lpstr>Report Sign-Off Block</vt:lpstr>
      <vt:lpstr>Drop-Downs and Tables</vt:lpstr>
      <vt:lpstr>Version Control</vt:lpstr>
      <vt:lpstr>Burner_Type</vt:lpstr>
      <vt:lpstr>Circulation</vt:lpstr>
      <vt:lpstr>Draft_Equipment</vt:lpstr>
      <vt:lpstr>Energy_Source</vt:lpstr>
      <vt:lpstr>GasType</vt:lpstr>
      <vt:lpstr>h_rs</vt:lpstr>
      <vt:lpstr>hc_bottom</vt:lpstr>
      <vt:lpstr>hc_side</vt:lpstr>
      <vt:lpstr>hc_top</vt:lpstr>
      <vt:lpstr>'Reduced Test'!HupCdownPerformed</vt:lpstr>
      <vt:lpstr>HupCdownPerformed</vt:lpstr>
      <vt:lpstr>Ignition</vt:lpstr>
      <vt:lpstr>Installation</vt:lpstr>
      <vt:lpstr>Jacket_Loss</vt:lpstr>
      <vt:lpstr>Off_Cycle_Devices</vt:lpstr>
      <vt:lpstr>Reduced_Test_Required</vt:lpstr>
      <vt:lpstr>'Reduced Test'!TFSSH</vt:lpstr>
      <vt:lpstr>TFSSH</vt:lpstr>
      <vt:lpstr>'Reduced Test'!TRAH</vt:lpstr>
      <vt:lpstr>TRAH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Jean-Louis</dc:creator>
  <cp:lastModifiedBy>Alexander Hammer</cp:lastModifiedBy>
  <dcterms:created xsi:type="dcterms:W3CDTF">2012-12-21T14:34:39Z</dcterms:created>
  <dcterms:modified xsi:type="dcterms:W3CDTF">2019-09-13T17:22:15Z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0x010100922D80044088AB4A8E9C3F9DD67E6DB5</vt:lpwstr>
  </property>
</Properties>
</file>