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C:\Users\mcarlisle\Desktop\"/>
    </mc:Choice>
  </mc:AlternateContent>
  <xr:revisionPtr revIDLastSave="0" documentId="10_ncr:100000_{A0731756-B42E-4B8B-AAF5-9365E855B1A3}" xr6:coauthVersionLast="31" xr6:coauthVersionMax="31" xr10:uidLastSave="{00000000-0000-0000-0000-000000000000}"/>
  <workbookProtection workbookPassword="CA08" lockStructure="1"/>
  <bookViews>
    <workbookView xWindow="0" yWindow="0" windowWidth="19200" windowHeight="6960" tabRatio="919" xr2:uid="{00000000-000D-0000-FFFF-FFFF00000000}"/>
  </bookViews>
  <sheets>
    <sheet name="Instructions" sheetId="1" r:id="rId1"/>
    <sheet name="General Info and Test Results" sheetId="2" r:id="rId2"/>
    <sheet name="Instrumentation" sheetId="3" r:id="rId3"/>
    <sheet name="Setup" sheetId="4" r:id="rId4"/>
    <sheet name="Photos" sheetId="5" r:id="rId5"/>
    <sheet name="Test Settings" sheetId="6" r:id="rId6"/>
    <sheet name="A Test Recorded Data" sheetId="8" r:id="rId7"/>
    <sheet name="B Test Recorded Data" sheetId="9" r:id="rId8"/>
    <sheet name="F Test Recorded Data" sheetId="10" r:id="rId9"/>
    <sheet name="Ev Test Recorded Data" sheetId="11" r:id="rId10"/>
    <sheet name="Optional C Test Recorded Data" sheetId="12" r:id="rId11"/>
    <sheet name="Optional D Test Recorded Data" sheetId="13" r:id="rId12"/>
    <sheet name="Optional G Test Recorded Data" sheetId="14" r:id="rId13"/>
    <sheet name="Optional I Test Recorded Data" sheetId="15" r:id="rId14"/>
    <sheet name="H0-1 Test Recorded Data" sheetId="16" r:id="rId15"/>
    <sheet name="H1 Test Recorded Data" sheetId="17" r:id="rId16"/>
    <sheet name="H2 Test Recorded Data" sheetId="18" r:id="rId17"/>
    <sheet name="H3 Test Recorded Data" sheetId="19" r:id="rId18"/>
    <sheet name="Optional H0C Test Recorded Data" sheetId="20" r:id="rId19"/>
    <sheet name="Optional H1C Test Recorded Data" sheetId="21" r:id="rId20"/>
    <sheet name="IEER Tests Recorded Data" sheetId="27" r:id="rId21"/>
    <sheet name="IEER Calculations" sheetId="28" r:id="rId22"/>
    <sheet name="Calculations" sheetId="7" r:id="rId23"/>
    <sheet name="Test Comments" sheetId="24" r:id="rId24"/>
    <sheet name="Report Sign-off Block" sheetId="25" r:id="rId25"/>
    <sheet name="Tables" sheetId="22" r:id="rId26"/>
    <sheet name="Drop-Downs" sheetId="26" r:id="rId27"/>
    <sheet name="Version Control" sheetId="23" r:id="rId28"/>
  </sheets>
  <definedNames>
    <definedName name="Compressor_Type">'Drop-Downs'!$E$12:$E$14</definedName>
    <definedName name="Controls_Type">'Drop-Downs'!$H$12:$H$13</definedName>
    <definedName name="COP_ss">Calculations!$D$276</definedName>
    <definedName name="COP_vs">Calculations!$D$277</definedName>
    <definedName name="Duration">'Drop-Downs'!$B$12:$B$13</definedName>
    <definedName name="Fan_Type">'Drop-Downs'!$F$12:$F$13</definedName>
    <definedName name="H1_Type">'Drop-Downs'!$K$12:$K$15</definedName>
    <definedName name="IEER_Calc">'Drop-Downs'!$M$12:$M$14</definedName>
    <definedName name="IEER_Test_Data">'IEER Calculations'!$C$16:$K$23</definedName>
    <definedName name="IEER_Tests">'Drop-Downs'!$L$12:$L$19</definedName>
    <definedName name="Min_Max">'Drop-Downs'!$J$12:$J$13</definedName>
    <definedName name="_xlnm.Print_Area" localSheetId="0">Instructions!$A$1:$F$86</definedName>
    <definedName name="Product_Type">'Drop-Downs'!$D$12:$D$14</definedName>
    <definedName name="Refrigerant_Type">'Drop-Downs'!$G$12:$G$14</definedName>
    <definedName name="Region">'Drop-Downs'!$I$12:$I$17</definedName>
    <definedName name="SS_FS_round">'A Test Recorded Data'!$E$162</definedName>
    <definedName name="SS_VS_round">'A Test Recorded Data'!$E$163</definedName>
    <definedName name="Test">'IEER Tests Recorded Data'!$D$15</definedName>
    <definedName name="TS_VS_round">'A Test Recorded Data'!$E$164</definedName>
    <definedName name="VS_VS_round">'A Test Recorded Data'!$E$165</definedName>
    <definedName name="Yes_No">'Drop-Downs'!$C$12:$C$13</definedName>
    <definedName name="Z_2A4C6EB9_430A_44F2_86C8_15B50360FC3B_.wvu.PrintArea" localSheetId="0" hidden="1">Instructions!$A$1:$F$86</definedName>
    <definedName name="Z_B3BD5AF3_9A64_4EA7_AE1F_3CC326849B8F_.wvu.PrintArea" localSheetId="0" hidden="1">Instructions!$A$1:$F$86</definedName>
  </definedNames>
  <calcPr calcId="179017"/>
  <customWorkbookViews>
    <customWorkbookView name="Richard Shandross - Personal View" guid="{2A4C6EB9-430A-44F2-86C8-15B50360FC3B}" mergeInterval="0" personalView="1" maximized="1" xWindow="1" yWindow="1" windowWidth="1362" windowHeight="550" tabRatio="919" activeSheetId="1"/>
    <customWorkbookView name="Justin Schmidt - Personal View" guid="{B3BD5AF3-9A64-4EA7-AE1F-3CC326849B8F}" mergeInterval="0" personalView="1" xWindow="6" yWindow="32" windowWidth="1262" windowHeight="577" tabRatio="919" activeSheetId="8" showComments="commIndAndComment"/>
  </customWorkbookViews>
</workbook>
</file>

<file path=xl/calcChain.xml><?xml version="1.0" encoding="utf-8"?>
<calcChain xmlns="http://schemas.openxmlformats.org/spreadsheetml/2006/main">
  <c r="C5" i="23" l="1"/>
  <c r="G19" i="2" l="1"/>
  <c r="G17" i="2"/>
  <c r="D165" i="8"/>
  <c r="D164" i="8"/>
  <c r="D163" i="8"/>
  <c r="D162" i="8"/>
  <c r="G18" i="2"/>
  <c r="G16" i="2"/>
  <c r="G15" i="2"/>
  <c r="C6" i="1" l="1"/>
  <c r="C3" i="1"/>
  <c r="C6" i="2"/>
  <c r="C3" i="2"/>
  <c r="C6" i="3"/>
  <c r="C3" i="3"/>
  <c r="C6" i="4"/>
  <c r="C3" i="4"/>
  <c r="C6" i="5"/>
  <c r="C3" i="5"/>
  <c r="C6" i="6"/>
  <c r="C3" i="6"/>
  <c r="C6" i="8"/>
  <c r="C3" i="8"/>
  <c r="C6" i="9"/>
  <c r="C3" i="9"/>
  <c r="C6" i="10"/>
  <c r="C3" i="10"/>
  <c r="C6" i="11"/>
  <c r="C3" i="11"/>
  <c r="C6" i="12"/>
  <c r="C3" i="12"/>
  <c r="C6" i="13"/>
  <c r="C3" i="13"/>
  <c r="C6" i="14"/>
  <c r="C3" i="14"/>
  <c r="C6" i="15"/>
  <c r="C3" i="15"/>
  <c r="C6" i="16"/>
  <c r="C3" i="16"/>
  <c r="C6" i="17"/>
  <c r="C3" i="17"/>
  <c r="C6" i="18"/>
  <c r="C3" i="18"/>
  <c r="C6" i="19"/>
  <c r="C3" i="19"/>
  <c r="C6" i="20"/>
  <c r="C3" i="20"/>
  <c r="C6" i="21"/>
  <c r="C3" i="21"/>
  <c r="C6" i="27"/>
  <c r="C3" i="27"/>
  <c r="C6" i="28"/>
  <c r="C3" i="28"/>
  <c r="C6" i="7"/>
  <c r="C3" i="7"/>
  <c r="C6" i="24"/>
  <c r="C3" i="24"/>
  <c r="C6" i="25"/>
  <c r="C3" i="25"/>
  <c r="K8" i="22"/>
  <c r="C3" i="26"/>
  <c r="K5" i="22" s="1"/>
  <c r="C6" i="26"/>
  <c r="C8" i="23"/>
  <c r="C8" i="4" s="1"/>
  <c r="C6" i="23"/>
  <c r="C7" i="23"/>
  <c r="C5" i="4"/>
  <c r="C4" i="23"/>
  <c r="C4" i="2" s="1"/>
  <c r="C7" i="26" l="1"/>
  <c r="K9" i="22" s="1"/>
  <c r="C7" i="1"/>
  <c r="C4" i="3"/>
  <c r="C4" i="28"/>
  <c r="C5" i="15"/>
  <c r="C8" i="19"/>
  <c r="C8" i="2"/>
  <c r="C8" i="26"/>
  <c r="K10" i="22" s="1"/>
  <c r="C8" i="20"/>
  <c r="C8" i="10"/>
  <c r="C8" i="11"/>
  <c r="C8" i="28"/>
  <c r="C8" i="14"/>
  <c r="C8" i="5"/>
  <c r="C8" i="7"/>
  <c r="C8" i="16"/>
  <c r="C8" i="15"/>
  <c r="C8" i="6"/>
  <c r="C8" i="24"/>
  <c r="C8" i="21"/>
  <c r="C8" i="17"/>
  <c r="C8" i="12"/>
  <c r="C8" i="8"/>
  <c r="C8" i="3"/>
  <c r="C8" i="25"/>
  <c r="C8" i="27"/>
  <c r="C8" i="18"/>
  <c r="C8" i="13"/>
  <c r="C8" i="9"/>
  <c r="C5" i="11"/>
  <c r="C5" i="26"/>
  <c r="K7" i="22" s="1"/>
  <c r="C5" i="19"/>
  <c r="C5" i="28"/>
  <c r="C5" i="6"/>
  <c r="C4" i="27"/>
  <c r="C4" i="14"/>
  <c r="C4" i="5"/>
  <c r="C5" i="27"/>
  <c r="C4" i="21"/>
  <c r="C5" i="14"/>
  <c r="C4" i="13"/>
  <c r="C5" i="5"/>
  <c r="C4" i="4"/>
  <c r="C5" i="1"/>
  <c r="C4" i="26"/>
  <c r="K6" i="22" s="1"/>
  <c r="C5" i="7"/>
  <c r="C5" i="20"/>
  <c r="C4" i="19"/>
  <c r="C5" i="16"/>
  <c r="C4" i="15"/>
  <c r="C5" i="12"/>
  <c r="C4" i="11"/>
  <c r="C5" i="8"/>
  <c r="C4" i="6"/>
  <c r="C5" i="3"/>
  <c r="C4" i="25"/>
  <c r="C4" i="18"/>
  <c r="C4" i="10"/>
  <c r="C5" i="2"/>
  <c r="C4" i="1"/>
  <c r="C5" i="25"/>
  <c r="C4" i="24"/>
  <c r="C5" i="18"/>
  <c r="C4" i="17"/>
  <c r="C5" i="10"/>
  <c r="C4" i="9"/>
  <c r="C5" i="24"/>
  <c r="C4" i="7"/>
  <c r="C5" i="21"/>
  <c r="C4" i="20"/>
  <c r="C5" i="17"/>
  <c r="C4" i="16"/>
  <c r="C5" i="13"/>
  <c r="C4" i="12"/>
  <c r="C5" i="9"/>
  <c r="C4" i="8"/>
  <c r="C7" i="3"/>
  <c r="C7" i="2"/>
  <c r="C7" i="4"/>
  <c r="C7" i="5"/>
  <c r="C7" i="6"/>
  <c r="C7" i="8"/>
  <c r="C7" i="9"/>
  <c r="C7" i="10"/>
  <c r="C7" i="12"/>
  <c r="C7" i="11"/>
  <c r="C7" i="13"/>
  <c r="C7" i="14"/>
  <c r="C7" i="15"/>
  <c r="C7" i="16"/>
  <c r="C7" i="17"/>
  <c r="C7" i="18"/>
  <c r="C7" i="20"/>
  <c r="C7" i="19"/>
  <c r="C7" i="21"/>
  <c r="C7" i="27"/>
  <c r="C7" i="28"/>
  <c r="C7" i="7"/>
  <c r="C7" i="24"/>
  <c r="C7" i="25"/>
  <c r="I45" i="7" l="1"/>
  <c r="J23" i="28"/>
  <c r="J22" i="28"/>
  <c r="J21" i="28"/>
  <c r="J20" i="28"/>
  <c r="J19" i="28"/>
  <c r="J18" i="28"/>
  <c r="J17" i="28"/>
  <c r="J16" i="28"/>
  <c r="I23" i="28"/>
  <c r="I22" i="28"/>
  <c r="I21" i="28"/>
  <c r="I20" i="28"/>
  <c r="I19" i="28"/>
  <c r="I18" i="28"/>
  <c r="I17" i="28"/>
  <c r="I16" i="28"/>
  <c r="H23" i="28"/>
  <c r="H22" i="28"/>
  <c r="H21" i="28"/>
  <c r="H20" i="28"/>
  <c r="H19" i="28"/>
  <c r="H18" i="28"/>
  <c r="H17" i="28"/>
  <c r="H16" i="28"/>
  <c r="G23" i="28"/>
  <c r="G22" i="28"/>
  <c r="G21" i="28"/>
  <c r="G20" i="28"/>
  <c r="G19" i="28"/>
  <c r="G18" i="28"/>
  <c r="G17" i="28"/>
  <c r="G16" i="28"/>
  <c r="D23" i="28"/>
  <c r="D22" i="28"/>
  <c r="D21" i="28"/>
  <c r="D20" i="28"/>
  <c r="D19" i="28"/>
  <c r="D18" i="28"/>
  <c r="D17" i="28"/>
  <c r="D82" i="27" l="1"/>
  <c r="D85" i="27" s="1"/>
  <c r="D84" i="27"/>
  <c r="I7" i="28" l="1"/>
  <c r="I6" i="28"/>
  <c r="I5" i="28"/>
  <c r="I31" i="28"/>
  <c r="H31" i="28" s="1"/>
  <c r="I30" i="28"/>
  <c r="H30" i="28" s="1"/>
  <c r="I29" i="28"/>
  <c r="H29" i="28" s="1"/>
  <c r="I28" i="28"/>
  <c r="H28" i="28"/>
  <c r="D89" i="27"/>
  <c r="D88" i="27"/>
  <c r="D87" i="27"/>
  <c r="D90" i="27" s="1"/>
  <c r="D86" i="27"/>
  <c r="D83" i="27"/>
  <c r="F78" i="27"/>
  <c r="E78" i="27"/>
  <c r="D78" i="27"/>
  <c r="F77" i="27"/>
  <c r="E77" i="27"/>
  <c r="D77" i="27"/>
  <c r="F76" i="27"/>
  <c r="E76" i="27"/>
  <c r="D76" i="27"/>
  <c r="F75" i="27"/>
  <c r="E75" i="27"/>
  <c r="D75" i="27"/>
  <c r="D16" i="28" s="1"/>
  <c r="F74" i="27"/>
  <c r="E74" i="27"/>
  <c r="D74" i="27"/>
  <c r="F73" i="27"/>
  <c r="E73" i="27"/>
  <c r="D73" i="27"/>
  <c r="F72" i="27"/>
  <c r="E72" i="27"/>
  <c r="D72" i="27"/>
  <c r="F71" i="27"/>
  <c r="E71" i="27"/>
  <c r="D71" i="27"/>
  <c r="F66" i="27"/>
  <c r="E66" i="27"/>
  <c r="D66" i="27"/>
  <c r="F65" i="27"/>
  <c r="E65" i="27"/>
  <c r="D65" i="27"/>
  <c r="F64" i="27"/>
  <c r="E64" i="27"/>
  <c r="D64" i="27"/>
  <c r="F63" i="27"/>
  <c r="E63" i="27"/>
  <c r="D63" i="27"/>
  <c r="F62" i="27"/>
  <c r="E62" i="27"/>
  <c r="D62" i="27"/>
  <c r="F57" i="27"/>
  <c r="E57" i="27"/>
  <c r="D57" i="27"/>
  <c r="F56" i="27"/>
  <c r="E56" i="27"/>
  <c r="D56" i="27"/>
  <c r="F55" i="27"/>
  <c r="E55" i="27"/>
  <c r="D55" i="27"/>
  <c r="F54" i="27"/>
  <c r="E54" i="27"/>
  <c r="D54" i="27"/>
  <c r="F53" i="27"/>
  <c r="E53" i="27"/>
  <c r="D53" i="27"/>
  <c r="F52" i="27"/>
  <c r="E52" i="27"/>
  <c r="D52" i="27"/>
  <c r="F51" i="27"/>
  <c r="E51" i="27"/>
  <c r="D51" i="27"/>
  <c r="F50" i="27"/>
  <c r="E50" i="27"/>
  <c r="D50" i="27"/>
  <c r="F49" i="27"/>
  <c r="E49" i="27"/>
  <c r="D49" i="27"/>
  <c r="F48" i="27"/>
  <c r="E48" i="27"/>
  <c r="D48" i="27"/>
  <c r="F47" i="27"/>
  <c r="E47" i="27"/>
  <c r="D47" i="27"/>
  <c r="F42" i="27"/>
  <c r="E42" i="27"/>
  <c r="D42" i="27"/>
  <c r="F41" i="27"/>
  <c r="E41" i="27"/>
  <c r="D41" i="27"/>
  <c r="F40" i="27"/>
  <c r="E40" i="27"/>
  <c r="D40" i="27"/>
  <c r="F39" i="27"/>
  <c r="E39" i="27"/>
  <c r="D39" i="27"/>
  <c r="F38" i="27"/>
  <c r="E38" i="27"/>
  <c r="D38" i="27"/>
  <c r="F29" i="27"/>
  <c r="E29" i="27"/>
  <c r="D29" i="27"/>
  <c r="F28" i="27"/>
  <c r="E28" i="27"/>
  <c r="D28" i="27"/>
  <c r="F27" i="27"/>
  <c r="E27" i="27"/>
  <c r="D27" i="27"/>
  <c r="F26" i="27"/>
  <c r="E26" i="27"/>
  <c r="D26" i="27"/>
  <c r="I7" i="27"/>
  <c r="I6" i="27"/>
  <c r="I5" i="27"/>
  <c r="P167" i="27"/>
  <c r="L167" i="27"/>
  <c r="H167" i="27"/>
  <c r="D167" i="27"/>
  <c r="P162" i="27"/>
  <c r="F23" i="28" s="1"/>
  <c r="K23" i="28" s="1"/>
  <c r="L162" i="27"/>
  <c r="F22" i="28" s="1"/>
  <c r="E22" i="28" s="1"/>
  <c r="H162" i="27"/>
  <c r="F21" i="28" s="1"/>
  <c r="K21" i="28" s="1"/>
  <c r="D162" i="27"/>
  <c r="F20" i="28" s="1"/>
  <c r="P90" i="27"/>
  <c r="L90" i="27"/>
  <c r="H90" i="27"/>
  <c r="P85" i="27"/>
  <c r="F19" i="28" s="1"/>
  <c r="L85" i="27"/>
  <c r="F18" i="28" s="1"/>
  <c r="H85" i="27"/>
  <c r="K20" i="28" l="1"/>
  <c r="E20" i="28"/>
  <c r="K22" i="28"/>
  <c r="F17" i="28"/>
  <c r="K17" i="28" s="1"/>
  <c r="F16" i="28"/>
  <c r="E18" i="28" s="1"/>
  <c r="K19" i="28"/>
  <c r="G31" i="28" s="1"/>
  <c r="K18" i="28"/>
  <c r="G30" i="28" s="1"/>
  <c r="E17" i="28"/>
  <c r="G29" i="28" s="1"/>
  <c r="E19" i="28"/>
  <c r="E21" i="28"/>
  <c r="E23" i="28"/>
  <c r="K16" i="28" l="1"/>
  <c r="G28" i="28" s="1"/>
  <c r="I34" i="28" s="1"/>
  <c r="E16" i="28"/>
  <c r="D150" i="7"/>
  <c r="B11" i="21" l="1"/>
  <c r="D264" i="7" l="1"/>
  <c r="O264" i="7" s="1"/>
  <c r="D263" i="7"/>
  <c r="D262" i="7"/>
  <c r="D261" i="7"/>
  <c r="V261" i="7" s="1"/>
  <c r="D260" i="7"/>
  <c r="V260" i="7" s="1"/>
  <c r="D259" i="7"/>
  <c r="V259" i="7" s="1"/>
  <c r="D258" i="7"/>
  <c r="V258" i="7" s="1"/>
  <c r="D257" i="7"/>
  <c r="V257" i="7" s="1"/>
  <c r="D256" i="7"/>
  <c r="V256" i="7" s="1"/>
  <c r="D255" i="7"/>
  <c r="V255" i="7" s="1"/>
  <c r="D254" i="7"/>
  <c r="V254" i="7" s="1"/>
  <c r="D253" i="7"/>
  <c r="V253" i="7" s="1"/>
  <c r="D252" i="7"/>
  <c r="V252" i="7" s="1"/>
  <c r="D251" i="7"/>
  <c r="V251" i="7" s="1"/>
  <c r="D250" i="7"/>
  <c r="V250" i="7" s="1"/>
  <c r="D249" i="7"/>
  <c r="V249" i="7" s="1"/>
  <c r="D248" i="7"/>
  <c r="V248" i="7" s="1"/>
  <c r="D247" i="7"/>
  <c r="U262" i="7" l="1"/>
  <c r="S262" i="7"/>
  <c r="V262" i="7"/>
  <c r="N262" i="7"/>
  <c r="K263" i="7"/>
  <c r="S263" i="7"/>
  <c r="V263" i="7"/>
  <c r="Q262" i="7"/>
  <c r="N263" i="7"/>
  <c r="R264" i="7"/>
  <c r="S264" i="7"/>
  <c r="V264" i="7"/>
  <c r="O262" i="7"/>
  <c r="Q263" i="7"/>
  <c r="N264" i="7"/>
  <c r="O263" i="7"/>
  <c r="Q264" i="7"/>
  <c r="V247" i="7"/>
  <c r="T263" i="7"/>
  <c r="T262" i="7"/>
  <c r="T264" i="7"/>
  <c r="I262" i="7"/>
  <c r="I264" i="7"/>
  <c r="F263" i="7"/>
  <c r="I263" i="7"/>
  <c r="R263" i="7"/>
  <c r="U263" i="7"/>
  <c r="F264" i="7"/>
  <c r="K262" i="7"/>
  <c r="R262" i="7"/>
  <c r="U264" i="7"/>
  <c r="F262" i="7"/>
  <c r="K264" i="7"/>
  <c r="D230" i="7" l="1"/>
  <c r="D229" i="7"/>
  <c r="D228" i="7"/>
  <c r="D227" i="7"/>
  <c r="D226" i="7"/>
  <c r="D225" i="7"/>
  <c r="D224" i="7"/>
  <c r="D223" i="7"/>
  <c r="D222" i="7"/>
  <c r="D221" i="7"/>
  <c r="D220" i="7"/>
  <c r="D219" i="7"/>
  <c r="D218" i="7"/>
  <c r="D217" i="7"/>
  <c r="D216" i="7"/>
  <c r="D215" i="7"/>
  <c r="D214" i="7"/>
  <c r="D213" i="7"/>
  <c r="D199" i="7" l="1"/>
  <c r="T199" i="7" s="1"/>
  <c r="D198" i="7"/>
  <c r="T198" i="7" s="1"/>
  <c r="D197" i="7"/>
  <c r="T197" i="7" s="1"/>
  <c r="D196" i="7"/>
  <c r="T196" i="7" s="1"/>
  <c r="D195" i="7"/>
  <c r="T195" i="7" s="1"/>
  <c r="D194" i="7"/>
  <c r="T194" i="7" s="1"/>
  <c r="D193" i="7"/>
  <c r="T193" i="7" s="1"/>
  <c r="D192" i="7"/>
  <c r="T192" i="7" s="1"/>
  <c r="D191" i="7"/>
  <c r="T191" i="7" s="1"/>
  <c r="D190" i="7"/>
  <c r="T190" i="7" s="1"/>
  <c r="D189" i="7"/>
  <c r="T189" i="7" s="1"/>
  <c r="D188" i="7"/>
  <c r="T188" i="7" s="1"/>
  <c r="D187" i="7"/>
  <c r="T187" i="7" s="1"/>
  <c r="D186" i="7"/>
  <c r="T186" i="7" s="1"/>
  <c r="D185" i="7"/>
  <c r="T185" i="7" s="1"/>
  <c r="D184" i="7"/>
  <c r="T184" i="7" s="1"/>
  <c r="D183" i="7"/>
  <c r="T183" i="7" s="1"/>
  <c r="D182" i="7"/>
  <c r="T182" i="7" s="1"/>
  <c r="G139" i="7" l="1"/>
  <c r="D85" i="9" l="1"/>
  <c r="D80" i="9"/>
  <c r="D167" i="7"/>
  <c r="D166" i="7"/>
  <c r="O166" i="7" s="1"/>
  <c r="D165" i="7"/>
  <c r="O165" i="7" s="1"/>
  <c r="D164" i="7"/>
  <c r="D163" i="7"/>
  <c r="O163" i="7" s="1"/>
  <c r="D162" i="7"/>
  <c r="O162" i="7" s="1"/>
  <c r="D161" i="7"/>
  <c r="O161" i="7" s="1"/>
  <c r="D160" i="7"/>
  <c r="O160" i="7" s="1"/>
  <c r="D159" i="7"/>
  <c r="O159" i="7" s="1"/>
  <c r="D158" i="7"/>
  <c r="O158" i="7" s="1"/>
  <c r="D157" i="7"/>
  <c r="O157" i="7" s="1"/>
  <c r="D156" i="7"/>
  <c r="O156" i="7" s="1"/>
  <c r="D155" i="7"/>
  <c r="O155" i="7" s="1"/>
  <c r="D154" i="7"/>
  <c r="O154" i="7" s="1"/>
  <c r="D153" i="7"/>
  <c r="O153" i="7" s="1"/>
  <c r="D152" i="7"/>
  <c r="O152" i="7" s="1"/>
  <c r="D151" i="7"/>
  <c r="O151" i="7" s="1"/>
  <c r="O150" i="7"/>
  <c r="D86" i="8"/>
  <c r="D156" i="8"/>
  <c r="D81" i="8"/>
  <c r="O167" i="7" l="1"/>
  <c r="C164" i="7"/>
  <c r="O164" i="7"/>
  <c r="D80" i="19"/>
  <c r="E50" i="7" s="1"/>
  <c r="I27" i="2"/>
  <c r="I28" i="2"/>
  <c r="I29" i="2"/>
  <c r="I30" i="2"/>
  <c r="C248" i="7"/>
  <c r="B248" i="7" s="1"/>
  <c r="C249" i="7"/>
  <c r="B249" i="7" s="1"/>
  <c r="C250" i="7"/>
  <c r="C253" i="7"/>
  <c r="C256" i="7"/>
  <c r="B256" i="7" s="1"/>
  <c r="C258" i="7"/>
  <c r="B258" i="7" s="1"/>
  <c r="C260" i="7"/>
  <c r="B260" i="7" s="1"/>
  <c r="C183" i="7"/>
  <c r="B183" i="7" s="1"/>
  <c r="C184" i="7"/>
  <c r="B184" i="7" s="1"/>
  <c r="C185" i="7"/>
  <c r="B185" i="7" s="1"/>
  <c r="C188" i="7"/>
  <c r="B188" i="7" s="1"/>
  <c r="C189" i="7"/>
  <c r="B189" i="7" s="1"/>
  <c r="C191" i="7"/>
  <c r="B191" i="7" s="1"/>
  <c r="C192" i="7"/>
  <c r="B192" i="7" s="1"/>
  <c r="C196" i="7"/>
  <c r="B196" i="7" s="1"/>
  <c r="C182" i="7"/>
  <c r="B182" i="7" s="1"/>
  <c r="D75" i="20"/>
  <c r="C55" i="7" s="1"/>
  <c r="C242" i="7" s="1"/>
  <c r="D80" i="20"/>
  <c r="E55" i="7" s="1"/>
  <c r="D150" i="12"/>
  <c r="E35" i="7" s="1"/>
  <c r="D145" i="12"/>
  <c r="C35" i="7" s="1"/>
  <c r="D78" i="12"/>
  <c r="E33" i="7" s="1"/>
  <c r="D73" i="12"/>
  <c r="D151" i="8"/>
  <c r="C29" i="7" s="1"/>
  <c r="Z90" i="7" s="1"/>
  <c r="I39" i="7"/>
  <c r="D73" i="17"/>
  <c r="C43" i="7" s="1"/>
  <c r="C277" i="7" s="1"/>
  <c r="D14" i="10"/>
  <c r="D14" i="9"/>
  <c r="D14" i="8"/>
  <c r="D221" i="18"/>
  <c r="D216" i="18"/>
  <c r="C57" i="7" s="1"/>
  <c r="D146" i="18"/>
  <c r="C48" i="7" s="1"/>
  <c r="D151" i="18"/>
  <c r="E48" i="7" s="1"/>
  <c r="D81" i="18"/>
  <c r="D76" i="18"/>
  <c r="C46" i="7" s="1"/>
  <c r="I7" i="21"/>
  <c r="I6" i="21"/>
  <c r="I5" i="21"/>
  <c r="I7" i="20"/>
  <c r="I6" i="20"/>
  <c r="I5" i="20"/>
  <c r="I7" i="19"/>
  <c r="I6" i="19"/>
  <c r="I5" i="19"/>
  <c r="I7" i="18"/>
  <c r="I6" i="18"/>
  <c r="I5" i="18"/>
  <c r="I7" i="17"/>
  <c r="I6" i="17"/>
  <c r="I5" i="17"/>
  <c r="I7" i="16"/>
  <c r="I6" i="16"/>
  <c r="I5" i="16"/>
  <c r="I7" i="15"/>
  <c r="I6" i="15"/>
  <c r="I5" i="15"/>
  <c r="I7" i="14"/>
  <c r="I6" i="14"/>
  <c r="I5" i="14"/>
  <c r="I7" i="13"/>
  <c r="I6" i="13"/>
  <c r="I5" i="13"/>
  <c r="I7" i="12"/>
  <c r="I6" i="12"/>
  <c r="I5" i="12"/>
  <c r="I7" i="11"/>
  <c r="I6" i="11"/>
  <c r="I5" i="11"/>
  <c r="I7" i="10"/>
  <c r="I6" i="10"/>
  <c r="I5" i="10"/>
  <c r="I7" i="9"/>
  <c r="I6" i="9"/>
  <c r="I5" i="9"/>
  <c r="D145" i="19"/>
  <c r="C51" i="7" s="1"/>
  <c r="I48" i="7"/>
  <c r="I51" i="7"/>
  <c r="I44" i="7"/>
  <c r="I56" i="7"/>
  <c r="D15" i="25"/>
  <c r="H27" i="2" s="1"/>
  <c r="H28" i="2"/>
  <c r="H29" i="2"/>
  <c r="H30" i="2"/>
  <c r="D155" i="9"/>
  <c r="E32" i="7" s="1"/>
  <c r="D79" i="11"/>
  <c r="E40" i="7" s="1"/>
  <c r="D147" i="21"/>
  <c r="C54" i="7" s="1"/>
  <c r="D75" i="21"/>
  <c r="C52" i="7" s="1"/>
  <c r="E137" i="7"/>
  <c r="D218" i="17"/>
  <c r="E58" i="7" s="1"/>
  <c r="D213" i="17"/>
  <c r="D148" i="17"/>
  <c r="E45" i="7" s="1"/>
  <c r="D143" i="17"/>
  <c r="D78" i="17"/>
  <c r="E44" i="7" s="1"/>
  <c r="D150" i="19"/>
  <c r="E51" i="7" s="1"/>
  <c r="D152" i="21"/>
  <c r="D80" i="21"/>
  <c r="E53" i="7" s="1"/>
  <c r="D75" i="19"/>
  <c r="C50" i="7" s="1"/>
  <c r="D78" i="16"/>
  <c r="E56" i="7" s="1"/>
  <c r="D73" i="16"/>
  <c r="C56" i="7" s="1"/>
  <c r="D80" i="15"/>
  <c r="E42" i="7" s="1"/>
  <c r="D75" i="15"/>
  <c r="C42" i="7" s="1"/>
  <c r="D78" i="14"/>
  <c r="E41" i="7" s="1"/>
  <c r="D73" i="14"/>
  <c r="C41" i="7" s="1"/>
  <c r="C114" i="7" s="1"/>
  <c r="D96" i="13"/>
  <c r="E38" i="7" s="1"/>
  <c r="D91" i="13"/>
  <c r="C38" i="7" s="1"/>
  <c r="D52" i="13"/>
  <c r="E37" i="7" s="1"/>
  <c r="D47" i="13"/>
  <c r="C37" i="7" s="1"/>
  <c r="D84" i="10"/>
  <c r="E39" i="7" s="1"/>
  <c r="D79" i="10"/>
  <c r="C39" i="7" s="1"/>
  <c r="I58" i="7"/>
  <c r="C58" i="7"/>
  <c r="I57" i="7"/>
  <c r="E57" i="7"/>
  <c r="H5" i="7"/>
  <c r="D118" i="7"/>
  <c r="D119" i="7"/>
  <c r="D120" i="7"/>
  <c r="D121" i="7"/>
  <c r="D122" i="7"/>
  <c r="D123" i="7"/>
  <c r="D124" i="7"/>
  <c r="D117" i="7"/>
  <c r="C118" i="7"/>
  <c r="C119" i="7"/>
  <c r="C120" i="7"/>
  <c r="C121" i="7"/>
  <c r="C122" i="7"/>
  <c r="C123" i="7"/>
  <c r="C124" i="7"/>
  <c r="C117" i="7"/>
  <c r="B118" i="7"/>
  <c r="B119" i="7"/>
  <c r="B120" i="7"/>
  <c r="B121" i="7"/>
  <c r="B122" i="7"/>
  <c r="B123" i="7"/>
  <c r="B124" i="7"/>
  <c r="B117" i="7"/>
  <c r="C98" i="7"/>
  <c r="C99" i="7"/>
  <c r="C100" i="7"/>
  <c r="C101" i="7"/>
  <c r="C102" i="7"/>
  <c r="C103" i="7"/>
  <c r="C104" i="7"/>
  <c r="D98" i="7"/>
  <c r="D99" i="7"/>
  <c r="D100" i="7"/>
  <c r="D101" i="7"/>
  <c r="D102" i="7"/>
  <c r="D103" i="7"/>
  <c r="D104" i="7"/>
  <c r="D97" i="7"/>
  <c r="C97" i="7"/>
  <c r="B98" i="7"/>
  <c r="B99" i="7"/>
  <c r="B100" i="7"/>
  <c r="B101" i="7"/>
  <c r="B102" i="7"/>
  <c r="B103" i="7"/>
  <c r="B104" i="7"/>
  <c r="B97" i="7"/>
  <c r="B78" i="7"/>
  <c r="B79" i="7"/>
  <c r="B80" i="7"/>
  <c r="B81" i="7"/>
  <c r="B82" i="7"/>
  <c r="B83" i="7"/>
  <c r="B84" i="7"/>
  <c r="B77" i="7"/>
  <c r="C78" i="7"/>
  <c r="C79" i="7"/>
  <c r="C80" i="7"/>
  <c r="C81" i="7"/>
  <c r="C82" i="7"/>
  <c r="C83" i="7"/>
  <c r="C84" i="7"/>
  <c r="C77" i="7"/>
  <c r="D78" i="7"/>
  <c r="D79" i="7"/>
  <c r="D80" i="7"/>
  <c r="D81" i="7"/>
  <c r="D82" i="7"/>
  <c r="D83" i="7"/>
  <c r="D84" i="7"/>
  <c r="D77" i="7"/>
  <c r="I55" i="7"/>
  <c r="I54" i="7"/>
  <c r="I53" i="7"/>
  <c r="I52" i="7"/>
  <c r="I50" i="7"/>
  <c r="I49" i="7"/>
  <c r="I47" i="7"/>
  <c r="I46" i="7"/>
  <c r="I43" i="7"/>
  <c r="I42" i="7"/>
  <c r="I41" i="7"/>
  <c r="I40" i="7"/>
  <c r="I38" i="7"/>
  <c r="I37" i="7"/>
  <c r="I36" i="7"/>
  <c r="I35" i="7"/>
  <c r="I34" i="7"/>
  <c r="I33" i="7"/>
  <c r="I32" i="7"/>
  <c r="I31" i="7"/>
  <c r="I30" i="7"/>
  <c r="I29" i="7"/>
  <c r="I28" i="7"/>
  <c r="I27" i="7"/>
  <c r="C36" i="7"/>
  <c r="E34" i="7"/>
  <c r="D74" i="11"/>
  <c r="C40" i="7" s="1"/>
  <c r="C31" i="7"/>
  <c r="D150" i="9"/>
  <c r="C32" i="7" s="1"/>
  <c r="E29" i="7"/>
  <c r="E27" i="7"/>
  <c r="I7" i="8"/>
  <c r="I6" i="8"/>
  <c r="I5" i="8"/>
  <c r="H6" i="7"/>
  <c r="H4" i="7"/>
  <c r="E54" i="7"/>
  <c r="C30" i="7"/>
  <c r="E36" i="7"/>
  <c r="D4" i="22"/>
  <c r="E4" i="22"/>
  <c r="F4" i="22"/>
  <c r="C136" i="7" s="1"/>
  <c r="G4" i="22"/>
  <c r="H4" i="22"/>
  <c r="C4" i="22"/>
  <c r="C150" i="7"/>
  <c r="B150" i="7" s="1"/>
  <c r="C162" i="7"/>
  <c r="B162" i="7" s="1"/>
  <c r="C160" i="7"/>
  <c r="C158" i="7"/>
  <c r="C156" i="7"/>
  <c r="C154" i="7"/>
  <c r="C152" i="7"/>
  <c r="C166" i="7"/>
  <c r="B166" i="7" s="1"/>
  <c r="C165" i="7"/>
  <c r="C161" i="7"/>
  <c r="C157" i="7"/>
  <c r="B157" i="7" s="1"/>
  <c r="C153" i="7"/>
  <c r="B153" i="7" s="1"/>
  <c r="E28" i="7"/>
  <c r="C53" i="7" l="1"/>
  <c r="C209" i="7" s="1"/>
  <c r="C47" i="7"/>
  <c r="F188" i="7" s="1"/>
  <c r="C45" i="7"/>
  <c r="G45" i="7" s="1"/>
  <c r="E52" i="7"/>
  <c r="H52" i="7" s="1"/>
  <c r="C210" i="7"/>
  <c r="G48" i="7"/>
  <c r="AA180" i="7"/>
  <c r="J98" i="7"/>
  <c r="E43" i="7"/>
  <c r="H42" i="7"/>
  <c r="B19" i="8"/>
  <c r="B11" i="13"/>
  <c r="G37" i="7"/>
  <c r="H54" i="7"/>
  <c r="H38" i="7"/>
  <c r="H152" i="7"/>
  <c r="H160" i="7"/>
  <c r="J122" i="7"/>
  <c r="K248" i="7"/>
  <c r="K249" i="7"/>
  <c r="K260" i="7"/>
  <c r="K253" i="7"/>
  <c r="K258" i="7"/>
  <c r="K256" i="7"/>
  <c r="K250" i="7"/>
  <c r="F118" i="7"/>
  <c r="L80" i="7"/>
  <c r="L117" i="7"/>
  <c r="J119" i="7"/>
  <c r="J101" i="7"/>
  <c r="J118" i="7"/>
  <c r="K83" i="7"/>
  <c r="E120" i="7"/>
  <c r="J102" i="7"/>
  <c r="J103" i="7"/>
  <c r="J99" i="7"/>
  <c r="J123" i="7"/>
  <c r="F97" i="7"/>
  <c r="F117" i="7"/>
  <c r="Z95" i="7"/>
  <c r="J121" i="7"/>
  <c r="E117" i="7"/>
  <c r="G38" i="7"/>
  <c r="H164" i="7"/>
  <c r="H37" i="7"/>
  <c r="J124" i="7"/>
  <c r="G117" i="7"/>
  <c r="G42" i="7"/>
  <c r="J104" i="7"/>
  <c r="B164" i="7"/>
  <c r="E165" i="7"/>
  <c r="N165" i="7" s="1"/>
  <c r="C225" i="7"/>
  <c r="B225" i="7" s="1"/>
  <c r="R225" i="7" s="1"/>
  <c r="H53" i="7"/>
  <c r="C178" i="7"/>
  <c r="K104" i="7"/>
  <c r="K97" i="7"/>
  <c r="H156" i="7"/>
  <c r="F100" i="7"/>
  <c r="H41" i="7"/>
  <c r="H51" i="7"/>
  <c r="L118" i="7"/>
  <c r="Z91" i="7"/>
  <c r="J100" i="7"/>
  <c r="K183" i="7"/>
  <c r="J97" i="7"/>
  <c r="C224" i="7"/>
  <c r="B224" i="7" s="1"/>
  <c r="R224" i="7" s="1"/>
  <c r="K103" i="7"/>
  <c r="F104" i="7"/>
  <c r="G97" i="7"/>
  <c r="E97" i="7"/>
  <c r="G55" i="7"/>
  <c r="C222" i="7"/>
  <c r="B222" i="7" s="1"/>
  <c r="R222" i="7" s="1"/>
  <c r="C218" i="7"/>
  <c r="B218" i="7" s="1"/>
  <c r="R218" i="7" s="1"/>
  <c r="C214" i="7"/>
  <c r="B214" i="7" s="1"/>
  <c r="R214" i="7" s="1"/>
  <c r="J182" i="7"/>
  <c r="H48" i="7"/>
  <c r="B11" i="12"/>
  <c r="G52" i="7"/>
  <c r="G53" i="7"/>
  <c r="H150" i="7"/>
  <c r="C146" i="7"/>
  <c r="C67" i="7"/>
  <c r="F101" i="7"/>
  <c r="F119" i="7"/>
  <c r="F122" i="7"/>
  <c r="C262" i="7"/>
  <c r="B262" i="7" s="1"/>
  <c r="B152" i="7"/>
  <c r="C226" i="7"/>
  <c r="B226" i="7" s="1"/>
  <c r="R226" i="7" s="1"/>
  <c r="C213" i="7"/>
  <c r="F166" i="7"/>
  <c r="C254" i="7"/>
  <c r="M254" i="7" s="1"/>
  <c r="C195" i="7"/>
  <c r="B195" i="7" s="1"/>
  <c r="C221" i="7"/>
  <c r="B221" i="7" s="1"/>
  <c r="R221" i="7" s="1"/>
  <c r="C252" i="7"/>
  <c r="B252" i="7" s="1"/>
  <c r="B165" i="7"/>
  <c r="H153" i="7"/>
  <c r="E262" i="7"/>
  <c r="C230" i="7"/>
  <c r="B230" i="7" s="1"/>
  <c r="R230" i="7" s="1"/>
  <c r="C187" i="7"/>
  <c r="B187" i="7" s="1"/>
  <c r="E166" i="7"/>
  <c r="N166" i="7" s="1"/>
  <c r="H165" i="7"/>
  <c r="C199" i="7"/>
  <c r="M249" i="7"/>
  <c r="H166" i="7"/>
  <c r="M260" i="7"/>
  <c r="C193" i="7"/>
  <c r="B193" i="7" s="1"/>
  <c r="C229" i="7"/>
  <c r="B229" i="7" s="1"/>
  <c r="R229" i="7" s="1"/>
  <c r="C264" i="7"/>
  <c r="B264" i="7" s="1"/>
  <c r="M256" i="7"/>
  <c r="J188" i="7"/>
  <c r="C197" i="7"/>
  <c r="B197" i="7" s="1"/>
  <c r="B160" i="7"/>
  <c r="H157" i="7"/>
  <c r="K196" i="7"/>
  <c r="H264" i="7"/>
  <c r="H161" i="7"/>
  <c r="B161" i="7"/>
  <c r="H158" i="7"/>
  <c r="B158" i="7"/>
  <c r="C257" i="7"/>
  <c r="B257" i="7" s="1"/>
  <c r="K189" i="7"/>
  <c r="C217" i="7"/>
  <c r="B217" i="7" s="1"/>
  <c r="R217" i="7" s="1"/>
  <c r="C247" i="7"/>
  <c r="K247" i="7" s="1"/>
  <c r="C261" i="7"/>
  <c r="B261" i="7" s="1"/>
  <c r="M264" i="7"/>
  <c r="C216" i="7"/>
  <c r="K216" i="7" s="1"/>
  <c r="C220" i="7"/>
  <c r="B220" i="7" s="1"/>
  <c r="R220" i="7" s="1"/>
  <c r="C228" i="7"/>
  <c r="K228" i="7" s="1"/>
  <c r="M258" i="7"/>
  <c r="E228" i="7"/>
  <c r="E264" i="7"/>
  <c r="J196" i="7"/>
  <c r="J264" i="7"/>
  <c r="K184" i="7"/>
  <c r="P264" i="7"/>
  <c r="B156" i="7"/>
  <c r="E49" i="7"/>
  <c r="H50" i="7"/>
  <c r="G189" i="7"/>
  <c r="C49" i="7"/>
  <c r="F164" i="7" s="1"/>
  <c r="K188" i="7"/>
  <c r="K185" i="7"/>
  <c r="J189" i="7"/>
  <c r="K192" i="7"/>
  <c r="K191" i="7"/>
  <c r="K182" i="7"/>
  <c r="J184" i="7"/>
  <c r="J192" i="7"/>
  <c r="J185" i="7"/>
  <c r="J191" i="7"/>
  <c r="K102" i="7"/>
  <c r="L123" i="7"/>
  <c r="L81" i="7"/>
  <c r="J120" i="7"/>
  <c r="L84" i="7"/>
  <c r="G80" i="7"/>
  <c r="K99" i="7"/>
  <c r="L120" i="7"/>
  <c r="B18" i="9"/>
  <c r="L77" i="7"/>
  <c r="K98" i="7"/>
  <c r="H32" i="7"/>
  <c r="G121" i="7"/>
  <c r="L78" i="7"/>
  <c r="L79" i="7"/>
  <c r="K100" i="7"/>
  <c r="K101" i="7"/>
  <c r="L124" i="7"/>
  <c r="L119" i="7"/>
  <c r="L82" i="7"/>
  <c r="L83" i="7"/>
  <c r="G98" i="7"/>
  <c r="L122" i="7"/>
  <c r="L121" i="7"/>
  <c r="E78" i="7"/>
  <c r="G79" i="7"/>
  <c r="E124" i="7"/>
  <c r="C28" i="7"/>
  <c r="F80" i="7" s="1"/>
  <c r="K79" i="7"/>
  <c r="E104" i="7"/>
  <c r="E77" i="7"/>
  <c r="G120" i="7"/>
  <c r="C27" i="7"/>
  <c r="G27" i="7" s="1"/>
  <c r="G83" i="7"/>
  <c r="E79" i="7"/>
  <c r="E98" i="7"/>
  <c r="G101" i="7"/>
  <c r="E119" i="7"/>
  <c r="G118" i="7"/>
  <c r="G84" i="7"/>
  <c r="E103" i="7"/>
  <c r="E84" i="7"/>
  <c r="G102" i="7"/>
  <c r="E121" i="7"/>
  <c r="K78" i="7"/>
  <c r="K82" i="7"/>
  <c r="E46" i="7"/>
  <c r="E47" i="7"/>
  <c r="G47" i="7" s="1"/>
  <c r="C194" i="7"/>
  <c r="B194" i="7" s="1"/>
  <c r="C167" i="7"/>
  <c r="C215" i="7"/>
  <c r="J215" i="7" s="1"/>
  <c r="H162" i="7"/>
  <c r="C190" i="7"/>
  <c r="B190" i="7" s="1"/>
  <c r="C159" i="7"/>
  <c r="B159" i="7" s="1"/>
  <c r="C223" i="7"/>
  <c r="B223" i="7" s="1"/>
  <c r="R223" i="7" s="1"/>
  <c r="C259" i="7"/>
  <c r="C251" i="7"/>
  <c r="B251" i="7" s="1"/>
  <c r="H36" i="7"/>
  <c r="G36" i="7"/>
  <c r="G39" i="7"/>
  <c r="H39" i="7"/>
  <c r="H57" i="7"/>
  <c r="G57" i="7"/>
  <c r="C44" i="7"/>
  <c r="C34" i="7"/>
  <c r="C33" i="7"/>
  <c r="C66" i="7" s="1"/>
  <c r="C198" i="7"/>
  <c r="B198" i="7" s="1"/>
  <c r="C186" i="7"/>
  <c r="B186" i="7" s="1"/>
  <c r="C163" i="7"/>
  <c r="C155" i="7"/>
  <c r="B155" i="7" s="1"/>
  <c r="C227" i="7"/>
  <c r="B227" i="7" s="1"/>
  <c r="R227" i="7" s="1"/>
  <c r="C219" i="7"/>
  <c r="B219" i="7" s="1"/>
  <c r="R219" i="7" s="1"/>
  <c r="C255" i="7"/>
  <c r="B255" i="7" s="1"/>
  <c r="C151" i="7"/>
  <c r="B151" i="7" s="1"/>
  <c r="H154" i="7"/>
  <c r="B154" i="7"/>
  <c r="C263" i="7"/>
  <c r="B263" i="7" s="1"/>
  <c r="H29" i="7"/>
  <c r="Z92" i="7"/>
  <c r="E123" i="7"/>
  <c r="E118" i="7"/>
  <c r="E80" i="7"/>
  <c r="E102" i="7"/>
  <c r="E100" i="7"/>
  <c r="E82" i="7"/>
  <c r="G29" i="7"/>
  <c r="E122" i="7"/>
  <c r="E81" i="7"/>
  <c r="E101" i="7"/>
  <c r="E99" i="7"/>
  <c r="E83" i="7"/>
  <c r="G78" i="7"/>
  <c r="G77" i="7"/>
  <c r="E31" i="7"/>
  <c r="H31" i="7" s="1"/>
  <c r="E30" i="7"/>
  <c r="H30" i="7" s="1"/>
  <c r="G40" i="7"/>
  <c r="H40" i="7"/>
  <c r="K81" i="7"/>
  <c r="K80" i="7"/>
  <c r="K77" i="7"/>
  <c r="K84" i="7"/>
  <c r="H56" i="7"/>
  <c r="G56" i="7"/>
  <c r="F98" i="7"/>
  <c r="F121" i="7"/>
  <c r="F103" i="7"/>
  <c r="F124" i="7"/>
  <c r="F123" i="7"/>
  <c r="F102" i="7"/>
  <c r="F99" i="7"/>
  <c r="F120" i="7"/>
  <c r="G51" i="7"/>
  <c r="H258" i="7"/>
  <c r="H253" i="7"/>
  <c r="G188" i="7"/>
  <c r="H35" i="7"/>
  <c r="G35" i="7"/>
  <c r="G100" i="7"/>
  <c r="G99" i="7"/>
  <c r="G123" i="7"/>
  <c r="G124" i="7"/>
  <c r="G32" i="7"/>
  <c r="G41" i="7"/>
  <c r="H58" i="7"/>
  <c r="B253" i="7"/>
  <c r="M253" i="7"/>
  <c r="B250" i="7"/>
  <c r="M250" i="7"/>
  <c r="G81" i="7"/>
  <c r="G82" i="7"/>
  <c r="G104" i="7"/>
  <c r="G103" i="7"/>
  <c r="G122" i="7"/>
  <c r="G119" i="7"/>
  <c r="G50" i="7"/>
  <c r="H55" i="7"/>
  <c r="J117" i="7"/>
  <c r="G58" i="7"/>
  <c r="G54" i="7"/>
  <c r="AE193" i="7"/>
  <c r="J183" i="7"/>
  <c r="M248" i="7"/>
  <c r="K214" i="7" l="1"/>
  <c r="G182" i="7"/>
  <c r="G138" i="7"/>
  <c r="G137" i="7" s="1"/>
  <c r="F189" i="7"/>
  <c r="H189" i="7" s="1"/>
  <c r="H250" i="7"/>
  <c r="H45" i="7"/>
  <c r="G196" i="7"/>
  <c r="C276" i="7"/>
  <c r="J214" i="7"/>
  <c r="H256" i="7"/>
  <c r="P256" i="7" s="1"/>
  <c r="H260" i="7"/>
  <c r="P260" i="7" s="1"/>
  <c r="G192" i="7"/>
  <c r="K252" i="7"/>
  <c r="G183" i="7"/>
  <c r="H259" i="7"/>
  <c r="H248" i="7"/>
  <c r="P248" i="7" s="1"/>
  <c r="G185" i="7"/>
  <c r="AA181" i="7"/>
  <c r="G184" i="7"/>
  <c r="H249" i="7"/>
  <c r="P249" i="7" s="1"/>
  <c r="G191" i="7"/>
  <c r="C93" i="7"/>
  <c r="C94" i="7" s="1"/>
  <c r="P117" i="7"/>
  <c r="C126" i="7" s="1"/>
  <c r="O117" i="7"/>
  <c r="C127" i="7" s="1"/>
  <c r="F247" i="7"/>
  <c r="P250" i="7"/>
  <c r="AC195" i="7"/>
  <c r="AC193" i="7" s="1"/>
  <c r="P258" i="7"/>
  <c r="M80" i="7"/>
  <c r="M83" i="7"/>
  <c r="I80" i="7"/>
  <c r="J80" i="7" s="1"/>
  <c r="G214" i="7"/>
  <c r="L214" i="7" s="1"/>
  <c r="K255" i="7"/>
  <c r="K251" i="7"/>
  <c r="Y108" i="7"/>
  <c r="Y106" i="7" s="1"/>
  <c r="M121" i="7" s="1"/>
  <c r="G49" i="7"/>
  <c r="P121" i="7"/>
  <c r="O121" i="7"/>
  <c r="P119" i="7"/>
  <c r="O119" i="7"/>
  <c r="P118" i="7"/>
  <c r="O118" i="7"/>
  <c r="P123" i="7"/>
  <c r="O123" i="7"/>
  <c r="H47" i="7"/>
  <c r="G264" i="7"/>
  <c r="L264" i="7"/>
  <c r="K259" i="7"/>
  <c r="K257" i="7"/>
  <c r="P253" i="7"/>
  <c r="P120" i="7"/>
  <c r="O120" i="7"/>
  <c r="P124" i="7"/>
  <c r="O124" i="7"/>
  <c r="AA178" i="7"/>
  <c r="AA177" i="7" s="1"/>
  <c r="F256" i="7"/>
  <c r="F250" i="7"/>
  <c r="F249" i="7"/>
  <c r="F255" i="7"/>
  <c r="F252" i="7"/>
  <c r="F251" i="7"/>
  <c r="F260" i="7"/>
  <c r="F254" i="7"/>
  <c r="F259" i="7"/>
  <c r="F253" i="7"/>
  <c r="F248" i="7"/>
  <c r="F258" i="7"/>
  <c r="F257" i="7"/>
  <c r="F261" i="7"/>
  <c r="K261" i="7"/>
  <c r="M77" i="7"/>
  <c r="B247" i="7"/>
  <c r="M247" i="7"/>
  <c r="H247" i="7"/>
  <c r="L262" i="7"/>
  <c r="G262" i="7"/>
  <c r="P122" i="7"/>
  <c r="O122" i="7"/>
  <c r="K254" i="7"/>
  <c r="I164" i="7"/>
  <c r="J164" i="7" s="1"/>
  <c r="N100" i="7"/>
  <c r="M100" i="7"/>
  <c r="L100" i="7"/>
  <c r="H102" i="7"/>
  <c r="I102" i="7"/>
  <c r="M82" i="7"/>
  <c r="G230" i="7"/>
  <c r="F184" i="7"/>
  <c r="N99" i="7"/>
  <c r="M99" i="7"/>
  <c r="L99" i="7"/>
  <c r="N103" i="7"/>
  <c r="M103" i="7"/>
  <c r="L103" i="7"/>
  <c r="I101" i="7"/>
  <c r="H101" i="7"/>
  <c r="H120" i="7"/>
  <c r="H121" i="7"/>
  <c r="M79" i="7"/>
  <c r="Q228" i="7"/>
  <c r="M262" i="7"/>
  <c r="F165" i="7"/>
  <c r="B213" i="7"/>
  <c r="R213" i="7" s="1"/>
  <c r="K213" i="7"/>
  <c r="F213" i="7"/>
  <c r="J213" i="7"/>
  <c r="G213" i="7"/>
  <c r="L101" i="7"/>
  <c r="N101" i="7"/>
  <c r="M101" i="7"/>
  <c r="I97" i="7"/>
  <c r="H97" i="7"/>
  <c r="N102" i="7"/>
  <c r="M102" i="7"/>
  <c r="L102" i="7"/>
  <c r="I100" i="7"/>
  <c r="H100" i="7"/>
  <c r="H98" i="7"/>
  <c r="I98" i="7"/>
  <c r="F196" i="7"/>
  <c r="Z96" i="7"/>
  <c r="Z97" i="7"/>
  <c r="N98" i="7"/>
  <c r="M98" i="7"/>
  <c r="L98" i="7"/>
  <c r="H124" i="7"/>
  <c r="K224" i="7"/>
  <c r="N104" i="7"/>
  <c r="M104" i="7"/>
  <c r="L104" i="7"/>
  <c r="I120" i="7"/>
  <c r="N120" i="7" s="1"/>
  <c r="M81" i="7"/>
  <c r="H99" i="7"/>
  <c r="I99" i="7"/>
  <c r="H103" i="7"/>
  <c r="I103" i="7"/>
  <c r="H119" i="7"/>
  <c r="H104" i="7"/>
  <c r="I104" i="7"/>
  <c r="K230" i="7"/>
  <c r="J230" i="7"/>
  <c r="L97" i="7"/>
  <c r="N97" i="7"/>
  <c r="C106" i="7" s="1"/>
  <c r="M97" i="7"/>
  <c r="C107" i="7" s="1"/>
  <c r="G222" i="7"/>
  <c r="E230" i="7"/>
  <c r="F230" i="7"/>
  <c r="K222" i="7"/>
  <c r="K218" i="7"/>
  <c r="G218" i="7"/>
  <c r="J225" i="7"/>
  <c r="K225" i="7"/>
  <c r="B199" i="7"/>
  <c r="J199" i="7"/>
  <c r="F199" i="7"/>
  <c r="G225" i="7"/>
  <c r="H167" i="7"/>
  <c r="J222" i="7"/>
  <c r="E199" i="7"/>
  <c r="K199" i="7"/>
  <c r="H262" i="7"/>
  <c r="P262" i="7" s="1"/>
  <c r="G199" i="7"/>
  <c r="G224" i="7"/>
  <c r="J218" i="7"/>
  <c r="F218" i="7"/>
  <c r="F222" i="7"/>
  <c r="H27" i="7"/>
  <c r="J224" i="7"/>
  <c r="C74" i="7"/>
  <c r="M84" i="7"/>
  <c r="M78" i="7"/>
  <c r="F191" i="7"/>
  <c r="F182" i="7"/>
  <c r="H182" i="7" s="1"/>
  <c r="F83" i="7"/>
  <c r="I83" i="7" s="1"/>
  <c r="J83" i="7" s="1"/>
  <c r="F154" i="7"/>
  <c r="I154" i="7" s="1"/>
  <c r="J154" i="7" s="1"/>
  <c r="F157" i="7"/>
  <c r="I157" i="7" s="1"/>
  <c r="J157" i="7" s="1"/>
  <c r="F158" i="7"/>
  <c r="I158" i="7" s="1"/>
  <c r="J158" i="7" s="1"/>
  <c r="H49" i="7"/>
  <c r="F156" i="7"/>
  <c r="I156" i="7" s="1"/>
  <c r="J156" i="7" s="1"/>
  <c r="F150" i="7"/>
  <c r="I150" i="7" s="1"/>
  <c r="J150" i="7" s="1"/>
  <c r="I166" i="7"/>
  <c r="J166" i="7" s="1"/>
  <c r="K187" i="7"/>
  <c r="K226" i="7"/>
  <c r="J226" i="7"/>
  <c r="G226" i="7"/>
  <c r="J195" i="7"/>
  <c r="L188" i="7"/>
  <c r="K195" i="7"/>
  <c r="F227" i="7"/>
  <c r="F195" i="7"/>
  <c r="G195" i="7"/>
  <c r="H196" i="7"/>
  <c r="G193" i="7"/>
  <c r="G187" i="7"/>
  <c r="K193" i="7"/>
  <c r="H252" i="7"/>
  <c r="M252" i="7"/>
  <c r="F187" i="7"/>
  <c r="J187" i="7"/>
  <c r="L196" i="7"/>
  <c r="H261" i="7"/>
  <c r="F221" i="7"/>
  <c r="B254" i="7"/>
  <c r="E263" i="7"/>
  <c r="G227" i="7"/>
  <c r="G190" i="7"/>
  <c r="H254" i="7"/>
  <c r="P254" i="7" s="1"/>
  <c r="G197" i="7"/>
  <c r="G217" i="7"/>
  <c r="M263" i="7"/>
  <c r="E197" i="7"/>
  <c r="S197" i="7" s="1"/>
  <c r="I165" i="7"/>
  <c r="J165" i="7" s="1"/>
  <c r="G221" i="7"/>
  <c r="J216" i="7"/>
  <c r="K221" i="7"/>
  <c r="H155" i="7"/>
  <c r="J221" i="7"/>
  <c r="L191" i="7"/>
  <c r="L184" i="7"/>
  <c r="E229" i="7"/>
  <c r="F167" i="7"/>
  <c r="K229" i="7"/>
  <c r="J229" i="7"/>
  <c r="J227" i="7"/>
  <c r="J186" i="7"/>
  <c r="M261" i="7"/>
  <c r="G166" i="7"/>
  <c r="K166" i="7" s="1"/>
  <c r="J219" i="7"/>
  <c r="K227" i="7"/>
  <c r="J194" i="7"/>
  <c r="F229" i="7"/>
  <c r="J197" i="7"/>
  <c r="G165" i="7"/>
  <c r="F198" i="7"/>
  <c r="B228" i="7"/>
  <c r="R228" i="7" s="1"/>
  <c r="F228" i="7"/>
  <c r="H263" i="7"/>
  <c r="K198" i="7"/>
  <c r="G198" i="7"/>
  <c r="J193" i="7"/>
  <c r="G228" i="7"/>
  <c r="I228" i="7" s="1"/>
  <c r="F197" i="7"/>
  <c r="K197" i="7"/>
  <c r="G229" i="7"/>
  <c r="L189" i="7"/>
  <c r="J228" i="7"/>
  <c r="J198" i="7"/>
  <c r="E198" i="7"/>
  <c r="B167" i="7"/>
  <c r="E167" i="7"/>
  <c r="F190" i="7"/>
  <c r="K190" i="7"/>
  <c r="K217" i="7"/>
  <c r="K220" i="7"/>
  <c r="B216" i="7"/>
  <c r="R216" i="7" s="1"/>
  <c r="G216" i="7"/>
  <c r="L216" i="7" s="1"/>
  <c r="L183" i="7"/>
  <c r="F223" i="7"/>
  <c r="J190" i="7"/>
  <c r="G215" i="7"/>
  <c r="M257" i="7"/>
  <c r="F220" i="7"/>
  <c r="J217" i="7"/>
  <c r="G220" i="7"/>
  <c r="H257" i="7"/>
  <c r="J220" i="7"/>
  <c r="H188" i="7"/>
  <c r="L185" i="7"/>
  <c r="F215" i="7"/>
  <c r="L182" i="7"/>
  <c r="L192" i="7"/>
  <c r="G31" i="7"/>
  <c r="I124" i="7"/>
  <c r="N124" i="7" s="1"/>
  <c r="G30" i="7"/>
  <c r="H28" i="7"/>
  <c r="F84" i="7"/>
  <c r="I84" i="7" s="1"/>
  <c r="J84" i="7" s="1"/>
  <c r="G28" i="7"/>
  <c r="F78" i="7"/>
  <c r="I78" i="7" s="1"/>
  <c r="J78" i="7" s="1"/>
  <c r="F77" i="7"/>
  <c r="I77" i="7" s="1"/>
  <c r="J77" i="7" s="1"/>
  <c r="P77" i="7" s="1"/>
  <c r="F79" i="7"/>
  <c r="I79" i="7" s="1"/>
  <c r="J79" i="7" s="1"/>
  <c r="I119" i="7"/>
  <c r="N119" i="7" s="1"/>
  <c r="F82" i="7"/>
  <c r="I82" i="7" s="1"/>
  <c r="J82" i="7" s="1"/>
  <c r="F81" i="7"/>
  <c r="I81" i="7" s="1"/>
  <c r="J81" i="7" s="1"/>
  <c r="H117" i="7"/>
  <c r="I117" i="7"/>
  <c r="N117" i="7" s="1"/>
  <c r="H122" i="7"/>
  <c r="I122" i="7"/>
  <c r="N122" i="7" s="1"/>
  <c r="H123" i="7"/>
  <c r="I123" i="7"/>
  <c r="N123" i="7" s="1"/>
  <c r="B163" i="7"/>
  <c r="F163" i="7"/>
  <c r="G43" i="7"/>
  <c r="F152" i="7"/>
  <c r="H43" i="7"/>
  <c r="F153" i="7"/>
  <c r="F161" i="7"/>
  <c r="F160" i="7"/>
  <c r="F151" i="7"/>
  <c r="K219" i="7"/>
  <c r="Y95" i="7"/>
  <c r="X96" i="7"/>
  <c r="X97" i="7"/>
  <c r="X95" i="7"/>
  <c r="Y96" i="7"/>
  <c r="Y97" i="7"/>
  <c r="M255" i="7"/>
  <c r="F219" i="7"/>
  <c r="G186" i="7"/>
  <c r="C65" i="7"/>
  <c r="C69" i="7" s="1"/>
  <c r="G33" i="7"/>
  <c r="H33" i="7"/>
  <c r="M259" i="7"/>
  <c r="H159" i="7"/>
  <c r="F155" i="7"/>
  <c r="K215" i="7"/>
  <c r="G194" i="7"/>
  <c r="H46" i="7"/>
  <c r="G46" i="7"/>
  <c r="K186" i="7"/>
  <c r="F186" i="7"/>
  <c r="H34" i="7"/>
  <c r="G34" i="7"/>
  <c r="H251" i="7"/>
  <c r="J223" i="7"/>
  <c r="F159" i="7"/>
  <c r="F162" i="7"/>
  <c r="B215" i="7"/>
  <c r="R215" i="7" s="1"/>
  <c r="K194" i="7"/>
  <c r="F194" i="7"/>
  <c r="G219" i="7"/>
  <c r="Y107" i="7"/>
  <c r="Y105" i="7" s="1"/>
  <c r="H118" i="7"/>
  <c r="I118" i="7"/>
  <c r="N118" i="7" s="1"/>
  <c r="H255" i="7"/>
  <c r="H163" i="7"/>
  <c r="AE192" i="7"/>
  <c r="AC194" i="7" s="1"/>
  <c r="AC192" i="7" s="1"/>
  <c r="F225" i="7"/>
  <c r="H44" i="7"/>
  <c r="F192" i="7"/>
  <c r="F216" i="7"/>
  <c r="F214" i="7"/>
  <c r="F217" i="7"/>
  <c r="F226" i="7"/>
  <c r="F224" i="7"/>
  <c r="G44" i="7"/>
  <c r="F193" i="7"/>
  <c r="F185" i="7"/>
  <c r="F183" i="7"/>
  <c r="M251" i="7"/>
  <c r="B259" i="7"/>
  <c r="G223" i="7"/>
  <c r="H151" i="7"/>
  <c r="I121" i="7"/>
  <c r="N121" i="7" s="1"/>
  <c r="K223" i="7"/>
  <c r="E164" i="7" l="1"/>
  <c r="E153" i="7"/>
  <c r="E183" i="7"/>
  <c r="H192" i="7"/>
  <c r="E248" i="7"/>
  <c r="L248" i="7" s="1"/>
  <c r="E163" i="7"/>
  <c r="N163" i="7" s="1"/>
  <c r="E155" i="7"/>
  <c r="N155" i="7" s="1"/>
  <c r="E151" i="7"/>
  <c r="N151" i="7" s="1"/>
  <c r="E157" i="7"/>
  <c r="G157" i="7" s="1"/>
  <c r="K157" i="7" s="1"/>
  <c r="H183" i="7"/>
  <c r="E254" i="7"/>
  <c r="Q254" i="7" s="1"/>
  <c r="E216" i="7"/>
  <c r="I216" i="7" s="1"/>
  <c r="L225" i="7"/>
  <c r="E256" i="7"/>
  <c r="S256" i="7" s="1"/>
  <c r="E257" i="7"/>
  <c r="Q257" i="7" s="1"/>
  <c r="E187" i="7"/>
  <c r="S187" i="7" s="1"/>
  <c r="E249" i="7"/>
  <c r="Q249" i="7" s="1"/>
  <c r="H184" i="7"/>
  <c r="N184" i="7" s="1"/>
  <c r="O184" i="7" s="1"/>
  <c r="H191" i="7"/>
  <c r="N191" i="7" s="1"/>
  <c r="O191" i="7" s="1"/>
  <c r="P259" i="7"/>
  <c r="H185" i="7"/>
  <c r="N185" i="7" s="1"/>
  <c r="O185" i="7" s="1"/>
  <c r="E186" i="7"/>
  <c r="E154" i="7"/>
  <c r="G154" i="7" s="1"/>
  <c r="M154" i="7" s="1"/>
  <c r="E217" i="7"/>
  <c r="M217" i="7" s="1"/>
  <c r="E182" i="7"/>
  <c r="I182" i="7" s="1"/>
  <c r="E188" i="7"/>
  <c r="I188" i="7" s="1"/>
  <c r="E221" i="7"/>
  <c r="H221" i="7" s="1"/>
  <c r="E195" i="7"/>
  <c r="S195" i="7" s="1"/>
  <c r="E255" i="7"/>
  <c r="S255" i="7" s="1"/>
  <c r="E247" i="7"/>
  <c r="L247" i="7" s="1"/>
  <c r="E152" i="7"/>
  <c r="N152" i="7" s="1"/>
  <c r="E160" i="7"/>
  <c r="G160" i="7" s="1"/>
  <c r="E191" i="7"/>
  <c r="S191" i="7" s="1"/>
  <c r="E250" i="7"/>
  <c r="T250" i="7" s="1"/>
  <c r="E259" i="7"/>
  <c r="T259" i="7" s="1"/>
  <c r="E219" i="7"/>
  <c r="Q219" i="7" s="1"/>
  <c r="E161" i="7"/>
  <c r="N161" i="7" s="1"/>
  <c r="E252" i="7"/>
  <c r="G252" i="7" s="1"/>
  <c r="E189" i="7"/>
  <c r="I189" i="7" s="1"/>
  <c r="E214" i="7"/>
  <c r="P214" i="7" s="1"/>
  <c r="E158" i="7"/>
  <c r="N158" i="7" s="1"/>
  <c r="E192" i="7"/>
  <c r="S192" i="7" s="1"/>
  <c r="E224" i="7"/>
  <c r="N224" i="7" s="1"/>
  <c r="E225" i="7"/>
  <c r="N225" i="7" s="1"/>
  <c r="E260" i="7"/>
  <c r="S260" i="7" s="1"/>
  <c r="E185" i="7"/>
  <c r="S185" i="7" s="1"/>
  <c r="E159" i="7"/>
  <c r="G159" i="7" s="1"/>
  <c r="E190" i="7"/>
  <c r="S190" i="7" s="1"/>
  <c r="E251" i="7"/>
  <c r="T251" i="7" s="1"/>
  <c r="E215" i="7"/>
  <c r="O215" i="7" s="1"/>
  <c r="E162" i="7"/>
  <c r="N162" i="7" s="1"/>
  <c r="E156" i="7"/>
  <c r="N156" i="7" s="1"/>
  <c r="E222" i="7"/>
  <c r="N222" i="7" s="1"/>
  <c r="E258" i="7"/>
  <c r="S258" i="7" s="1"/>
  <c r="E220" i="7"/>
  <c r="M220" i="7" s="1"/>
  <c r="E193" i="7"/>
  <c r="S193" i="7" s="1"/>
  <c r="E253" i="7"/>
  <c r="S253" i="7" s="1"/>
  <c r="E184" i="7"/>
  <c r="S184" i="7" s="1"/>
  <c r="E213" i="7"/>
  <c r="H213" i="7" s="1"/>
  <c r="E218" i="7"/>
  <c r="H218" i="7" s="1"/>
  <c r="E226" i="7"/>
  <c r="M226" i="7" s="1"/>
  <c r="E194" i="7"/>
  <c r="S194" i="7" s="1"/>
  <c r="E223" i="7"/>
  <c r="H223" i="7" s="1"/>
  <c r="E261" i="7"/>
  <c r="Q261" i="7" s="1"/>
  <c r="E227" i="7"/>
  <c r="N227" i="7" s="1"/>
  <c r="P257" i="7"/>
  <c r="P247" i="7"/>
  <c r="N164" i="7"/>
  <c r="G164" i="7"/>
  <c r="K164" i="7" s="1"/>
  <c r="L164" i="7" s="1"/>
  <c r="C109" i="7"/>
  <c r="P252" i="7"/>
  <c r="AA179" i="7"/>
  <c r="AC180" i="7" s="1"/>
  <c r="E150" i="7"/>
  <c r="N150" i="7" s="1"/>
  <c r="E196" i="7"/>
  <c r="S196" i="7" s="1"/>
  <c r="T254" i="7"/>
  <c r="T248" i="7"/>
  <c r="S261" i="7"/>
  <c r="M117" i="7"/>
  <c r="M123" i="7"/>
  <c r="M122" i="7"/>
  <c r="P255" i="7"/>
  <c r="M118" i="7"/>
  <c r="M119" i="7"/>
  <c r="M124" i="7"/>
  <c r="M120" i="7"/>
  <c r="G258" i="7"/>
  <c r="P251" i="7"/>
  <c r="P261" i="7"/>
  <c r="L213" i="7"/>
  <c r="U261" i="7"/>
  <c r="L263" i="7"/>
  <c r="G263" i="7"/>
  <c r="U247" i="7"/>
  <c r="L222" i="7"/>
  <c r="L224" i="7"/>
  <c r="I215" i="7"/>
  <c r="Q229" i="7"/>
  <c r="I229" i="7"/>
  <c r="Q230" i="7"/>
  <c r="I230" i="7"/>
  <c r="H227" i="7"/>
  <c r="P229" i="7"/>
  <c r="N229" i="7"/>
  <c r="H229" i="7"/>
  <c r="O229" i="7"/>
  <c r="M229" i="7"/>
  <c r="O228" i="7"/>
  <c r="H228" i="7"/>
  <c r="N228" i="7"/>
  <c r="M228" i="7"/>
  <c r="P228" i="7"/>
  <c r="L218" i="7"/>
  <c r="P215" i="7"/>
  <c r="I227" i="7"/>
  <c r="H230" i="7"/>
  <c r="M230" i="7"/>
  <c r="P230" i="7"/>
  <c r="O230" i="7"/>
  <c r="N230" i="7"/>
  <c r="L230" i="7"/>
  <c r="I167" i="7"/>
  <c r="J167" i="7" s="1"/>
  <c r="L227" i="7"/>
  <c r="S199" i="7"/>
  <c r="L199" i="7"/>
  <c r="J262" i="7"/>
  <c r="H199" i="7"/>
  <c r="L220" i="7"/>
  <c r="N77" i="7"/>
  <c r="H190" i="7"/>
  <c r="H187" i="7"/>
  <c r="N196" i="7"/>
  <c r="O196" i="7" s="1"/>
  <c r="H195" i="7"/>
  <c r="L226" i="7"/>
  <c r="J261" i="7"/>
  <c r="L195" i="7"/>
  <c r="L198" i="7"/>
  <c r="L187" i="7"/>
  <c r="N188" i="7"/>
  <c r="O188" i="7" s="1"/>
  <c r="L217" i="7"/>
  <c r="L221" i="7"/>
  <c r="L194" i="7"/>
  <c r="H193" i="7"/>
  <c r="H197" i="7"/>
  <c r="I197" i="7" s="1"/>
  <c r="P197" i="7" s="1"/>
  <c r="L197" i="7"/>
  <c r="L193" i="7"/>
  <c r="M166" i="7"/>
  <c r="L166" i="7"/>
  <c r="N189" i="7"/>
  <c r="O189" i="7" s="1"/>
  <c r="K165" i="7"/>
  <c r="L165" i="7" s="1"/>
  <c r="M165" i="7"/>
  <c r="L186" i="7"/>
  <c r="J247" i="7"/>
  <c r="L228" i="7"/>
  <c r="N167" i="7"/>
  <c r="G167" i="7"/>
  <c r="L229" i="7"/>
  <c r="S198" i="7"/>
  <c r="H198" i="7"/>
  <c r="P263" i="7"/>
  <c r="J263" i="7"/>
  <c r="L190" i="7"/>
  <c r="L215" i="7"/>
  <c r="I155" i="7"/>
  <c r="J155" i="7" s="1"/>
  <c r="I160" i="7"/>
  <c r="J160" i="7" s="1"/>
  <c r="I152" i="7"/>
  <c r="J152" i="7" s="1"/>
  <c r="N182" i="7"/>
  <c r="O182" i="7" s="1"/>
  <c r="I162" i="7"/>
  <c r="J162" i="7" s="1"/>
  <c r="I161" i="7"/>
  <c r="J161" i="7" s="1"/>
  <c r="I153" i="7"/>
  <c r="J153" i="7" s="1"/>
  <c r="N192" i="7"/>
  <c r="O192" i="7" s="1"/>
  <c r="H194" i="7"/>
  <c r="I159" i="7"/>
  <c r="J159" i="7" s="1"/>
  <c r="P80" i="7"/>
  <c r="P83" i="7"/>
  <c r="N153" i="7"/>
  <c r="G153" i="7"/>
  <c r="K153" i="7" s="1"/>
  <c r="S183" i="7"/>
  <c r="Y101" i="7"/>
  <c r="I151" i="7"/>
  <c r="J151" i="7" s="1"/>
  <c r="I163" i="7"/>
  <c r="J163" i="7" s="1"/>
  <c r="C129" i="7"/>
  <c r="P79" i="7"/>
  <c r="L223" i="7"/>
  <c r="S186" i="7"/>
  <c r="N83" i="7"/>
  <c r="O83" i="7" s="1"/>
  <c r="N79" i="7"/>
  <c r="N82" i="7"/>
  <c r="N78" i="7"/>
  <c r="O78" i="7" s="1"/>
  <c r="N80" i="7"/>
  <c r="O80" i="7" s="1"/>
  <c r="N81" i="7"/>
  <c r="O81" i="7" s="1"/>
  <c r="N84" i="7"/>
  <c r="O84" i="7" s="1"/>
  <c r="J252" i="7"/>
  <c r="X101" i="7"/>
  <c r="X110" i="7" s="1"/>
  <c r="P84" i="7"/>
  <c r="P81" i="7"/>
  <c r="P82" i="7"/>
  <c r="L219" i="7"/>
  <c r="Q215" i="7"/>
  <c r="H186" i="7"/>
  <c r="Z101" i="7"/>
  <c r="X111" i="7" s="1"/>
  <c r="P78" i="7"/>
  <c r="S257" i="7" l="1"/>
  <c r="I183" i="7"/>
  <c r="P183" i="7" s="1"/>
  <c r="U257" i="7"/>
  <c r="G249" i="7"/>
  <c r="N193" i="7"/>
  <c r="O193" i="7" s="1"/>
  <c r="Q216" i="7"/>
  <c r="N157" i="7"/>
  <c r="G151" i="7"/>
  <c r="K151" i="7" s="1"/>
  <c r="J248" i="7"/>
  <c r="N216" i="7"/>
  <c r="U248" i="7"/>
  <c r="S248" i="7"/>
  <c r="M216" i="7"/>
  <c r="N183" i="7"/>
  <c r="O183" i="7" s="1"/>
  <c r="R183" i="7" s="1"/>
  <c r="I256" i="7"/>
  <c r="R256" i="7" s="1"/>
  <c r="I252" i="7"/>
  <c r="R252" i="7" s="1"/>
  <c r="T252" i="7"/>
  <c r="G163" i="7"/>
  <c r="K163" i="7" s="1"/>
  <c r="I184" i="7"/>
  <c r="P184" i="7" s="1"/>
  <c r="G248" i="7"/>
  <c r="I247" i="7"/>
  <c r="R247" i="7" s="1"/>
  <c r="Q248" i="7"/>
  <c r="Q256" i="7"/>
  <c r="G256" i="7"/>
  <c r="Q258" i="7"/>
  <c r="O220" i="7"/>
  <c r="I248" i="7"/>
  <c r="R248" i="7" s="1"/>
  <c r="S249" i="7"/>
  <c r="S247" i="7"/>
  <c r="C266" i="7" s="1"/>
  <c r="S188" i="7"/>
  <c r="G155" i="7"/>
  <c r="K155" i="7" s="1"/>
  <c r="G152" i="7"/>
  <c r="M152" i="7" s="1"/>
  <c r="J256" i="7"/>
  <c r="I192" i="7"/>
  <c r="P192" i="7" s="1"/>
  <c r="P224" i="7"/>
  <c r="I258" i="7"/>
  <c r="R258" i="7" s="1"/>
  <c r="L252" i="7"/>
  <c r="L256" i="7"/>
  <c r="L254" i="7"/>
  <c r="L250" i="7"/>
  <c r="Q252" i="7"/>
  <c r="S254" i="7"/>
  <c r="S250" i="7"/>
  <c r="T256" i="7"/>
  <c r="Q247" i="7"/>
  <c r="I257" i="7"/>
  <c r="R257" i="7" s="1"/>
  <c r="G257" i="7"/>
  <c r="U254" i="7"/>
  <c r="T257" i="7"/>
  <c r="J254" i="7"/>
  <c r="N215" i="7"/>
  <c r="I221" i="7"/>
  <c r="I254" i="7"/>
  <c r="R254" i="7" s="1"/>
  <c r="U256" i="7"/>
  <c r="G254" i="7"/>
  <c r="U250" i="7"/>
  <c r="T258" i="7"/>
  <c r="T249" i="7"/>
  <c r="P216" i="7"/>
  <c r="I249" i="7"/>
  <c r="R249" i="7" s="1"/>
  <c r="J249" i="7"/>
  <c r="L249" i="7"/>
  <c r="H216" i="7"/>
  <c r="O216" i="7"/>
  <c r="U249" i="7"/>
  <c r="I187" i="7"/>
  <c r="P187" i="7" s="1"/>
  <c r="N159" i="7"/>
  <c r="N154" i="7"/>
  <c r="J257" i="7"/>
  <c r="L257" i="7"/>
  <c r="O217" i="7"/>
  <c r="O221" i="7"/>
  <c r="G259" i="7"/>
  <c r="M213" i="7"/>
  <c r="I191" i="7"/>
  <c r="P191" i="7" s="1"/>
  <c r="Q191" i="7" s="1"/>
  <c r="I193" i="7"/>
  <c r="P193" i="7" s="1"/>
  <c r="Q222" i="7"/>
  <c r="Q255" i="7"/>
  <c r="O226" i="7"/>
  <c r="J253" i="7"/>
  <c r="I251" i="7"/>
  <c r="R251" i="7" s="1"/>
  <c r="G161" i="7"/>
  <c r="K161" i="7" s="1"/>
  <c r="J251" i="7"/>
  <c r="I226" i="7"/>
  <c r="Q217" i="7"/>
  <c r="T255" i="7"/>
  <c r="Q226" i="7"/>
  <c r="O219" i="7"/>
  <c r="P218" i="7"/>
  <c r="H222" i="7"/>
  <c r="U255" i="7"/>
  <c r="Q260" i="7"/>
  <c r="S182" i="7"/>
  <c r="C203" i="7" s="1"/>
  <c r="J255" i="7"/>
  <c r="N226" i="7"/>
  <c r="G251" i="7"/>
  <c r="L260" i="7"/>
  <c r="I255" i="7"/>
  <c r="R255" i="7" s="1"/>
  <c r="L255" i="7"/>
  <c r="J258" i="7"/>
  <c r="J250" i="7"/>
  <c r="I194" i="7"/>
  <c r="P194" i="7" s="1"/>
  <c r="H215" i="7"/>
  <c r="Q218" i="7"/>
  <c r="H219" i="7"/>
  <c r="G247" i="7"/>
  <c r="U252" i="7"/>
  <c r="G250" i="7"/>
  <c r="L258" i="7"/>
  <c r="T247" i="7"/>
  <c r="C267" i="7" s="1"/>
  <c r="Q250" i="7"/>
  <c r="I185" i="7"/>
  <c r="P185" i="7" s="1"/>
  <c r="M215" i="7"/>
  <c r="O214" i="7"/>
  <c r="M225" i="7"/>
  <c r="I250" i="7"/>
  <c r="R250" i="7" s="1"/>
  <c r="U258" i="7"/>
  <c r="S252" i="7"/>
  <c r="N160" i="7"/>
  <c r="I190" i="7"/>
  <c r="P190" i="7" s="1"/>
  <c r="O225" i="7"/>
  <c r="P225" i="7"/>
  <c r="N217" i="7"/>
  <c r="I214" i="7"/>
  <c r="N219" i="7"/>
  <c r="O218" i="7"/>
  <c r="T261" i="7"/>
  <c r="G156" i="7"/>
  <c r="M156" i="7" s="1"/>
  <c r="I195" i="7"/>
  <c r="P195" i="7" s="1"/>
  <c r="N214" i="7"/>
  <c r="M214" i="7"/>
  <c r="Q225" i="7"/>
  <c r="H225" i="7"/>
  <c r="P217" i="7"/>
  <c r="H217" i="7"/>
  <c r="Q214" i="7"/>
  <c r="P221" i="7"/>
  <c r="P219" i="7"/>
  <c r="I219" i="7"/>
  <c r="M218" i="7"/>
  <c r="N218" i="7"/>
  <c r="N223" i="7"/>
  <c r="L261" i="7"/>
  <c r="G150" i="7"/>
  <c r="K150" i="7" s="1"/>
  <c r="S259" i="7"/>
  <c r="H214" i="7"/>
  <c r="I225" i="7"/>
  <c r="G261" i="7"/>
  <c r="I261" i="7"/>
  <c r="R261" i="7" s="1"/>
  <c r="S189" i="7"/>
  <c r="I218" i="7"/>
  <c r="I217" i="7"/>
  <c r="O213" i="7"/>
  <c r="C232" i="7" s="1"/>
  <c r="N221" i="7"/>
  <c r="M219" i="7"/>
  <c r="I224" i="7"/>
  <c r="O223" i="7"/>
  <c r="G162" i="7"/>
  <c r="K162" i="7" s="1"/>
  <c r="L162" i="7" s="1"/>
  <c r="G158" i="7"/>
  <c r="K158" i="7" s="1"/>
  <c r="L158" i="7" s="1"/>
  <c r="Q213" i="7"/>
  <c r="C234" i="7" s="1"/>
  <c r="N220" i="7"/>
  <c r="O227" i="7"/>
  <c r="M221" i="7"/>
  <c r="Q221" i="7"/>
  <c r="H226" i="7"/>
  <c r="M224" i="7"/>
  <c r="I260" i="7"/>
  <c r="R260" i="7" s="1"/>
  <c r="I259" i="7"/>
  <c r="R259" i="7" s="1"/>
  <c r="U259" i="7"/>
  <c r="G255" i="7"/>
  <c r="Q253" i="7"/>
  <c r="Q259" i="7"/>
  <c r="J260" i="7"/>
  <c r="J259" i="7"/>
  <c r="P220" i="7"/>
  <c r="P227" i="7"/>
  <c r="H224" i="7"/>
  <c r="O222" i="7"/>
  <c r="P223" i="7"/>
  <c r="U251" i="7"/>
  <c r="L259" i="7"/>
  <c r="G253" i="7"/>
  <c r="T260" i="7"/>
  <c r="T253" i="7"/>
  <c r="Q251" i="7"/>
  <c r="Q227" i="7"/>
  <c r="H220" i="7"/>
  <c r="P213" i="7"/>
  <c r="C233" i="7" s="1"/>
  <c r="M227" i="7"/>
  <c r="P226" i="7"/>
  <c r="Q224" i="7"/>
  <c r="O224" i="7"/>
  <c r="P222" i="7"/>
  <c r="M222" i="7"/>
  <c r="M223" i="7"/>
  <c r="I220" i="7"/>
  <c r="U260" i="7"/>
  <c r="L253" i="7"/>
  <c r="S251" i="7"/>
  <c r="Q223" i="7"/>
  <c r="Q220" i="7"/>
  <c r="I223" i="7"/>
  <c r="I213" i="7"/>
  <c r="N213" i="7"/>
  <c r="I222" i="7"/>
  <c r="G260" i="7"/>
  <c r="L251" i="7"/>
  <c r="U253" i="7"/>
  <c r="I253" i="7"/>
  <c r="R253" i="7" s="1"/>
  <c r="M164" i="7"/>
  <c r="C268" i="7"/>
  <c r="I196" i="7"/>
  <c r="P196" i="7" s="1"/>
  <c r="AC183" i="7"/>
  <c r="AC182" i="7"/>
  <c r="AD180" i="7" s="1"/>
  <c r="AB199" i="7" s="1"/>
  <c r="AB197" i="7"/>
  <c r="M150" i="7"/>
  <c r="N195" i="7"/>
  <c r="O195" i="7" s="1"/>
  <c r="R195" i="7" s="1"/>
  <c r="W105" i="7"/>
  <c r="M167" i="7"/>
  <c r="N199" i="7"/>
  <c r="O199" i="7" s="1"/>
  <c r="I199" i="7"/>
  <c r="N190" i="7"/>
  <c r="O190" i="7" s="1"/>
  <c r="R182" i="7"/>
  <c r="C202" i="7" s="1"/>
  <c r="N187" i="7"/>
  <c r="O187" i="7" s="1"/>
  <c r="N198" i="7"/>
  <c r="O198" i="7" s="1"/>
  <c r="R188" i="7"/>
  <c r="R191" i="7"/>
  <c r="N197" i="7"/>
  <c r="O197" i="7" s="1"/>
  <c r="Q197" i="7" s="1"/>
  <c r="N186" i="7"/>
  <c r="O186" i="7" s="1"/>
  <c r="R189" i="7"/>
  <c r="M160" i="7"/>
  <c r="I198" i="7"/>
  <c r="N194" i="7"/>
  <c r="O194" i="7" s="1"/>
  <c r="K167" i="7"/>
  <c r="L167" i="7" s="1"/>
  <c r="O79" i="7"/>
  <c r="O82" i="7"/>
  <c r="O77" i="7"/>
  <c r="C87" i="7" s="1"/>
  <c r="M153" i="7"/>
  <c r="K160" i="7"/>
  <c r="L160" i="7" s="1"/>
  <c r="P189" i="7"/>
  <c r="Q189" i="7" s="1"/>
  <c r="M157" i="7"/>
  <c r="M159" i="7"/>
  <c r="K154" i="7"/>
  <c r="L154" i="7" s="1"/>
  <c r="I186" i="7"/>
  <c r="K159" i="7"/>
  <c r="L159" i="7" s="1"/>
  <c r="C86" i="7"/>
  <c r="L157" i="7"/>
  <c r="L153" i="7"/>
  <c r="P182" i="7"/>
  <c r="C171" i="7"/>
  <c r="AE180" i="7"/>
  <c r="AB198" i="7" s="1"/>
  <c r="X112" i="7"/>
  <c r="P188" i="7"/>
  <c r="Q188" i="7" s="1"/>
  <c r="L151" i="7" l="1"/>
  <c r="M151" i="7"/>
  <c r="Q183" i="7"/>
  <c r="Q184" i="7"/>
  <c r="Q192" i="7"/>
  <c r="R192" i="7"/>
  <c r="Q187" i="7"/>
  <c r="R184" i="7"/>
  <c r="L163" i="7"/>
  <c r="M163" i="7"/>
  <c r="M161" i="7"/>
  <c r="L155" i="7"/>
  <c r="K152" i="7"/>
  <c r="L152" i="7" s="1"/>
  <c r="M155" i="7"/>
  <c r="Q193" i="7"/>
  <c r="R193" i="7"/>
  <c r="L161" i="7"/>
  <c r="R194" i="7"/>
  <c r="C270" i="7"/>
  <c r="M158" i="7"/>
  <c r="R185" i="7"/>
  <c r="Q185" i="7"/>
  <c r="L150" i="7"/>
  <c r="C169" i="7" s="1"/>
  <c r="K156" i="7"/>
  <c r="L156" i="7" s="1"/>
  <c r="R190" i="7"/>
  <c r="C236" i="7"/>
  <c r="M162" i="7"/>
  <c r="Q196" i="7"/>
  <c r="R196" i="7"/>
  <c r="Q195" i="7"/>
  <c r="AA192" i="7"/>
  <c r="AA193" i="7" s="1"/>
  <c r="W106" i="7"/>
  <c r="W107" i="7" s="1"/>
  <c r="P199" i="7"/>
  <c r="Q199" i="7" s="1"/>
  <c r="R199" i="7"/>
  <c r="C89" i="7"/>
  <c r="Q190" i="7"/>
  <c r="Q182" i="7"/>
  <c r="C201" i="7" s="1"/>
  <c r="C205" i="7" s="1"/>
  <c r="R187" i="7"/>
  <c r="R197" i="7"/>
  <c r="Q194" i="7"/>
  <c r="P198" i="7"/>
  <c r="Q198" i="7" s="1"/>
  <c r="R198" i="7"/>
  <c r="C170" i="7"/>
  <c r="P186" i="7"/>
  <c r="Q186" i="7" s="1"/>
  <c r="R186" i="7"/>
  <c r="W108" i="7" l="1"/>
  <c r="Q117" i="7" s="1"/>
  <c r="K117" i="7" s="1"/>
  <c r="C173" i="7"/>
  <c r="AA194" i="7"/>
  <c r="AA195" i="7" s="1"/>
  <c r="Q121" i="7" l="1"/>
  <c r="K121" i="7" s="1"/>
  <c r="Q122" i="7"/>
  <c r="K122" i="7" s="1"/>
  <c r="N259" i="7"/>
  <c r="O259" i="7" s="1"/>
  <c r="N255" i="7"/>
  <c r="O255" i="7" s="1"/>
  <c r="N251" i="7"/>
  <c r="O251" i="7" s="1"/>
  <c r="N247" i="7"/>
  <c r="O247" i="7" s="1"/>
  <c r="N249" i="7"/>
  <c r="O249" i="7" s="1"/>
  <c r="N256" i="7"/>
  <c r="O256" i="7" s="1"/>
  <c r="N248" i="7"/>
  <c r="O248" i="7" s="1"/>
  <c r="N258" i="7"/>
  <c r="O258" i="7" s="1"/>
  <c r="N254" i="7"/>
  <c r="O254" i="7" s="1"/>
  <c r="N250" i="7"/>
  <c r="O250" i="7" s="1"/>
  <c r="N261" i="7"/>
  <c r="O261" i="7" s="1"/>
  <c r="N257" i="7"/>
  <c r="O257" i="7" s="1"/>
  <c r="N253" i="7"/>
  <c r="O253" i="7" s="1"/>
  <c r="N260" i="7"/>
  <c r="O260" i="7" s="1"/>
  <c r="N252" i="7"/>
  <c r="O252" i="7" s="1"/>
  <c r="Q120" i="7"/>
  <c r="K120" i="7" s="1"/>
  <c r="Q118" i="7"/>
  <c r="K118" i="7" s="1"/>
  <c r="Q124" i="7"/>
  <c r="K124" i="7" s="1"/>
  <c r="Q123" i="7"/>
  <c r="K123" i="7" s="1"/>
  <c r="Q119" i="7"/>
  <c r="K119" i="7" s="1"/>
</calcChain>
</file>

<file path=xl/sharedStrings.xml><?xml version="1.0" encoding="utf-8"?>
<sst xmlns="http://schemas.openxmlformats.org/spreadsheetml/2006/main" count="3207" uniqueCount="655">
  <si>
    <t>Region</t>
  </si>
  <si>
    <t>Table of Contents</t>
  </si>
  <si>
    <t>Instrumentation</t>
  </si>
  <si>
    <t>Photos</t>
  </si>
  <si>
    <t>Setup</t>
  </si>
  <si>
    <t>Specification of settings for each test performed</t>
  </si>
  <si>
    <t>Step 1</t>
  </si>
  <si>
    <t>Step 2</t>
  </si>
  <si>
    <t>Step 3</t>
  </si>
  <si>
    <t>Step 4</t>
  </si>
  <si>
    <t>Step 5</t>
  </si>
  <si>
    <t>Step 6</t>
  </si>
  <si>
    <t>Step 7</t>
  </si>
  <si>
    <t>Step 8</t>
  </si>
  <si>
    <t>Step 9</t>
  </si>
  <si>
    <t>General Information</t>
  </si>
  <si>
    <t>Lab Name:</t>
  </si>
  <si>
    <t>Test Location:</t>
  </si>
  <si>
    <t>Date of DOE Test Setup Approval (if applicable):</t>
  </si>
  <si>
    <t>Date Energy Test Started:</t>
  </si>
  <si>
    <t>Date Energy Test Finished:</t>
  </si>
  <si>
    <t>Product Reported SEER:</t>
  </si>
  <si>
    <t>Product Reported EER:</t>
  </si>
  <si>
    <t xml:space="preserve">Product Reported HSPF (if applicable): </t>
  </si>
  <si>
    <t>Product Input Voltage(s):</t>
  </si>
  <si>
    <t>Date Received:</t>
  </si>
  <si>
    <t>Brand:</t>
  </si>
  <si>
    <t>Manufacturer:</t>
  </si>
  <si>
    <t xml:space="preserve">Manufacturer model number: </t>
  </si>
  <si>
    <t>Serial number:</t>
  </si>
  <si>
    <t>Date of Manufacture (if available):</t>
  </si>
  <si>
    <t>Compressor #1</t>
  </si>
  <si>
    <t>Compressor #2</t>
  </si>
  <si>
    <t>Indoor Fan Motor</t>
  </si>
  <si>
    <t>Outdoor Fan Motor</t>
  </si>
  <si>
    <t>Describe placement of sensors used to measure indoor and outdoor temperatures:</t>
  </si>
  <si>
    <t>If additional sensors were used, describe placement:</t>
  </si>
  <si>
    <t>Include instructions on the use of the installation kit and selection and use of the wall sleeve and louvered grille.  Also include the recommended cabinet dimensions.</t>
  </si>
  <si>
    <t>Please include references, including page numbers.</t>
  </si>
  <si>
    <t>Describe how this unit was installed in the wall sleeve, including whether the "installation kit" was used and how.  How were the manufacturer instructions followed?</t>
  </si>
  <si>
    <t>Please include a description of how the settings were entered, specific to this particular test unit:</t>
  </si>
  <si>
    <t>Electromechanical or Electronic Controls?</t>
  </si>
  <si>
    <t>Other settings (if neccesary)</t>
  </si>
  <si>
    <t>Extra Setting #1</t>
  </si>
  <si>
    <t>Extra Setting #2</t>
  </si>
  <si>
    <t>Extra Setting #3</t>
  </si>
  <si>
    <t>--- Description</t>
  </si>
  <si>
    <t>Additional Description</t>
  </si>
  <si>
    <t>Measurement</t>
  </si>
  <si>
    <t>Btu/h</t>
  </si>
  <si>
    <t>Difference between primary and secondary calculation capacities (%)</t>
  </si>
  <si>
    <t>Electrical Power Input</t>
  </si>
  <si>
    <t>Compliance with Equilibrium Requirements</t>
  </si>
  <si>
    <t>Has chamber been at equilibrium for the minimum 30 minutes?</t>
  </si>
  <si>
    <t>A</t>
  </si>
  <si>
    <t>Electrical Input</t>
  </si>
  <si>
    <t>Avg</t>
  </si>
  <si>
    <t>Min</t>
  </si>
  <si>
    <t>Max</t>
  </si>
  <si>
    <t>Frequency (Hz)</t>
  </si>
  <si>
    <t>Line current (Amps)</t>
  </si>
  <si>
    <t>Pressure Measurements</t>
  </si>
  <si>
    <t xml:space="preserve">Barometric Pressure - (in. Hg) </t>
  </si>
  <si>
    <t>Liquid Line Pressure (psi)</t>
  </si>
  <si>
    <t>Suction Pressure (psi)</t>
  </si>
  <si>
    <t>Refrigerant Measurements</t>
  </si>
  <si>
    <t>Refrigerant flow rate (lb/hr)</t>
  </si>
  <si>
    <t>Saturated suction temperature (F)</t>
  </si>
  <si>
    <t>Saturated liquid temperature (F)</t>
  </si>
  <si>
    <t>Suction temperature (F)</t>
  </si>
  <si>
    <t>Liquid line temperature (F)</t>
  </si>
  <si>
    <t>Refrigerant Superheat (F)</t>
  </si>
  <si>
    <t>Refrigerant Subcooling (F)</t>
  </si>
  <si>
    <t xml:space="preserve">Entering indoor coil (F) </t>
  </si>
  <si>
    <t>Leaving indoor coil (F)</t>
  </si>
  <si>
    <t>Entering outdoor coil (F)</t>
  </si>
  <si>
    <t>Leaving outdoor coil (F)</t>
  </si>
  <si>
    <t>Airflow Measurements</t>
  </si>
  <si>
    <t>Actual Airflow (cfm)</t>
  </si>
  <si>
    <t>Standard Airflow (scfm)</t>
  </si>
  <si>
    <t>Entering enthalpy (please specify units)</t>
  </si>
  <si>
    <t>Leaving enthalpy (please specify units)</t>
  </si>
  <si>
    <t>Air Temperatures</t>
  </si>
  <si>
    <t>Indoor air entering dry bulb temperature  (F)</t>
  </si>
  <si>
    <t xml:space="preserve">Indoor air entering wet bulb temperature (F) </t>
  </si>
  <si>
    <t xml:space="preserve">Indoor air leaving dry bulb temperature  (F) </t>
  </si>
  <si>
    <t xml:space="preserve">Indoor air leaving wet bulb temperature (F) </t>
  </si>
  <si>
    <t>Outdoor air entering dry bulb temperature (F)</t>
  </si>
  <si>
    <t xml:space="preserve">Outdoor air entering wet bulb temperature (F) </t>
  </si>
  <si>
    <t>Outdoor air leaving dry bulb temperature (F)</t>
  </si>
  <si>
    <t>Outdoor air leaving wet bulb temperature (F)</t>
  </si>
  <si>
    <t xml:space="preserve">Heating Capacity </t>
  </si>
  <si>
    <t xml:space="preserve">Total heating capacity (Btu/hr) </t>
  </si>
  <si>
    <t xml:space="preserve">Total sensible heating capacity (Btu/hr) </t>
  </si>
  <si>
    <t>Corrected capacity (Btu/hr)</t>
  </si>
  <si>
    <t xml:space="preserve">Specify secondary method for calculating heating capacity </t>
  </si>
  <si>
    <t>Secondary method total heating capacity (Btu/hr)</t>
  </si>
  <si>
    <t>Secondary method sensible heating capacity (Btu/hr)</t>
  </si>
  <si>
    <t>Region Number</t>
  </si>
  <si>
    <t>I</t>
  </si>
  <si>
    <t>II</t>
  </si>
  <si>
    <t>III</t>
  </si>
  <si>
    <t>IV</t>
  </si>
  <si>
    <t>V</t>
  </si>
  <si>
    <t>VI</t>
  </si>
  <si>
    <t>Heating Load Hours, HLH</t>
  </si>
  <si>
    <t>*2750</t>
  </si>
  <si>
    <t>Tj( °F)</t>
  </si>
  <si>
    <t>j   </t>
  </si>
  <si>
    <t>J (# of bins)</t>
  </si>
  <si>
    <t>Qh(Tj)</t>
  </si>
  <si>
    <t>X(Tj)</t>
  </si>
  <si>
    <t>W</t>
  </si>
  <si>
    <t>nj/N</t>
  </si>
  <si>
    <t>σ(Tj)</t>
  </si>
  <si>
    <t>Q/(3.413*E)</t>
  </si>
  <si>
    <t>PLF</t>
  </si>
  <si>
    <t>eh(Tj)/N</t>
  </si>
  <si>
    <t>RH(Tj)/N</t>
  </si>
  <si>
    <t>BL(Tj)*nj/N</t>
  </si>
  <si>
    <t>Fdef</t>
  </si>
  <si>
    <t>HSPF</t>
  </si>
  <si>
    <t>H1 Test</t>
  </si>
  <si>
    <t>H2 Test</t>
  </si>
  <si>
    <t>H3 Test</t>
  </si>
  <si>
    <t>Fractional Bin hours for the heating season</t>
  </si>
  <si>
    <t>Outdoor bin temperature where j is bin number</t>
  </si>
  <si>
    <t>none</t>
  </si>
  <si>
    <t>Number of temperature bins</t>
  </si>
  <si>
    <t>Demand Defrost Control System</t>
  </si>
  <si>
    <t>Time between defrost terminations (hours)</t>
  </si>
  <si>
    <t>Maximum time between defrosts as allowed by the controls (hours)</t>
  </si>
  <si>
    <t>Temperature Bin Number, j</t>
  </si>
  <si>
    <t>Sum(BL(Tj)*nj/N)</t>
  </si>
  <si>
    <t>Sum(eh(Tj)/N)</t>
  </si>
  <si>
    <t>Sum(RH(Tj)/N)</t>
  </si>
  <si>
    <t>Correction Factor, C</t>
  </si>
  <si>
    <t>Variable</t>
  </si>
  <si>
    <t>Units</t>
  </si>
  <si>
    <t>Description</t>
  </si>
  <si>
    <t>File Name:</t>
  </si>
  <si>
    <t>Tab Name:</t>
  </si>
  <si>
    <t>Version Number:</t>
  </si>
  <si>
    <t xml:space="preserve">Test Completion Date: </t>
  </si>
  <si>
    <t>Revisions List</t>
  </si>
  <si>
    <t>Version</t>
  </si>
  <si>
    <t>Date</t>
  </si>
  <si>
    <t>Reference Test Procedure</t>
  </si>
  <si>
    <t>Test Report Sign-Off Block</t>
  </si>
  <si>
    <t>Role</t>
  </si>
  <si>
    <t>Entity</t>
  </si>
  <si>
    <t>Test Completion</t>
  </si>
  <si>
    <t>If Other (please specify)</t>
  </si>
  <si>
    <t>Refrigerant Used (R-22, R-410A, Other)?</t>
  </si>
  <si>
    <t>Condition as Received:</t>
  </si>
  <si>
    <t>Compressor Type</t>
  </si>
  <si>
    <t>Fan Type (If Single Speed Compressor)</t>
  </si>
  <si>
    <t>Accuracy</t>
  </si>
  <si>
    <t>Date of Last Calibration</t>
  </si>
  <si>
    <t>Deadline for Next Calibration</t>
  </si>
  <si>
    <t>Product Type</t>
  </si>
  <si>
    <t>Product Design</t>
  </si>
  <si>
    <t>Multi-Speed Outdoor Fan?</t>
  </si>
  <si>
    <t>Net Total Cooling Effect as Determined by:</t>
  </si>
  <si>
    <t>Indoor Air Enthalpy Method (Btu/h)</t>
  </si>
  <si>
    <t>Secondary Method (Btu/h)</t>
  </si>
  <si>
    <t>Agreement Check</t>
  </si>
  <si>
    <t>A Test</t>
  </si>
  <si>
    <t>A₁ Test</t>
  </si>
  <si>
    <t>A₂ Test</t>
  </si>
  <si>
    <t>Ev Test</t>
  </si>
  <si>
    <t>Optional Test C₁</t>
  </si>
  <si>
    <t>F₁ Test</t>
  </si>
  <si>
    <t>Optional Test C₂</t>
  </si>
  <si>
    <t>Optional Test D₂</t>
  </si>
  <si>
    <t>Optional Test D₁</t>
  </si>
  <si>
    <t>B Test</t>
  </si>
  <si>
    <t>B₁ Test</t>
  </si>
  <si>
    <t>B₂ Test</t>
  </si>
  <si>
    <t>Optional Test G₁</t>
  </si>
  <si>
    <t>Optional Test I₁</t>
  </si>
  <si>
    <t>H1₁ Test</t>
  </si>
  <si>
    <t>H1₂ Test</t>
  </si>
  <si>
    <t>H2₁ Test</t>
  </si>
  <si>
    <t>H2₂ Test</t>
  </si>
  <si>
    <t>H3₁ Test</t>
  </si>
  <si>
    <t>H3₂ Test</t>
  </si>
  <si>
    <t>Optional Test H1C₁</t>
  </si>
  <si>
    <t>Optional Test H1C₂</t>
  </si>
  <si>
    <t>Optional Test H0C₁</t>
  </si>
  <si>
    <t>H0₁ Test</t>
  </si>
  <si>
    <t>Secondary method sensible cooling capacity (Btu/hr)</t>
  </si>
  <si>
    <t>Secondary method total cooling capacity (Btu/hr)</t>
  </si>
  <si>
    <t xml:space="preserve">Specify secondary method for calculating cooling capacity </t>
  </si>
  <si>
    <t xml:space="preserve">Total sensible cooling capacity (Btu/hr) </t>
  </si>
  <si>
    <t xml:space="preserve">Total cooling capacity (Btu/hr) </t>
  </si>
  <si>
    <t xml:space="preserve">Cooling Capacity </t>
  </si>
  <si>
    <t>B</t>
  </si>
  <si>
    <t>D2</t>
  </si>
  <si>
    <t>Optional Test C</t>
  </si>
  <si>
    <t>Optional Test D</t>
  </si>
  <si>
    <t>Fan Type</t>
  </si>
  <si>
    <t>Optional Test H1C</t>
  </si>
  <si>
    <t>Single Speed Compressor, Fixed Fan Speed Calculations</t>
  </si>
  <si>
    <t>SEER</t>
  </si>
  <si>
    <t>Single Speed Compressor, Variable Fan Speed Calculations</t>
  </si>
  <si>
    <t>Bin number, j</t>
  </si>
  <si>
    <t>Bin temperature range °F</t>
  </si>
  <si>
    <t>Representative temperature for bin °F</t>
  </si>
  <si>
    <t>65–69</t>
  </si>
  <si>
    <t>70–74</t>
  </si>
  <si>
    <t>75–79</t>
  </si>
  <si>
    <t>80–84</t>
  </si>
  <si>
    <t>85–89</t>
  </si>
  <si>
    <t>90–94</t>
  </si>
  <si>
    <t>95–99</t>
  </si>
  <si>
    <t>100–104</t>
  </si>
  <si>
    <t>Fan Speed</t>
  </si>
  <si>
    <t>Qc(Tj)</t>
  </si>
  <si>
    <t>Qck=2(Tj)</t>
  </si>
  <si>
    <t>Qck=1(Tj)</t>
  </si>
  <si>
    <t>Eck=1(Tj)</t>
  </si>
  <si>
    <t>Eck=2(Tj)</t>
  </si>
  <si>
    <t>Ec(Tj)</t>
  </si>
  <si>
    <t>ec(Tj)/N</t>
  </si>
  <si>
    <t>qc(Tj)/N</t>
  </si>
  <si>
    <t>Part Load Factor</t>
  </si>
  <si>
    <t>SUM(qc(Tj)/N)</t>
  </si>
  <si>
    <t>SUM(ec(Tj)/N)</t>
  </si>
  <si>
    <t>Two Speed Compressor</t>
  </si>
  <si>
    <t>X(Tj)k=1</t>
  </si>
  <si>
    <t>X(Tj)k=2</t>
  </si>
  <si>
    <t>PLFj</t>
  </si>
  <si>
    <t>Heating Mode</t>
  </si>
  <si>
    <t>Cooling Mode</t>
  </si>
  <si>
    <t>Variable Speed Compressor</t>
  </si>
  <si>
    <t>T1</t>
  </si>
  <si>
    <t>T2</t>
  </si>
  <si>
    <t>Tv</t>
  </si>
  <si>
    <t>(A2/1.1)*(1/(95-65))</t>
  </si>
  <si>
    <t>Theta</t>
  </si>
  <si>
    <t>Sigma</t>
  </si>
  <si>
    <t>phi</t>
  </si>
  <si>
    <t>(B1-F1)/(82-67)</t>
  </si>
  <si>
    <t>(A2-B2)/(95-82)</t>
  </si>
  <si>
    <t>EER(T1)</t>
  </si>
  <si>
    <t>EER(Tv)</t>
  </si>
  <si>
    <t>EER(T2)</t>
  </si>
  <si>
    <t>Qck=v(Tj)</t>
  </si>
  <si>
    <t>Me</t>
  </si>
  <si>
    <t>Mq</t>
  </si>
  <si>
    <t>Eck=2v(Tj)</t>
  </si>
  <si>
    <t>NQ</t>
  </si>
  <si>
    <t>NE</t>
  </si>
  <si>
    <t>EERk=i(Tj)</t>
  </si>
  <si>
    <t>D</t>
  </si>
  <si>
    <t>C</t>
  </si>
  <si>
    <t>Coefficient</t>
  </si>
  <si>
    <t>Eck=I(Tj)</t>
  </si>
  <si>
    <t>X</t>
  </si>
  <si>
    <t>Y</t>
  </si>
  <si>
    <t>Z</t>
  </si>
  <si>
    <t>(X+Y)/Z</t>
  </si>
  <si>
    <t>for T1</t>
  </si>
  <si>
    <t>for Tv</t>
  </si>
  <si>
    <t>for T2</t>
  </si>
  <si>
    <t>Qk=1(Tj)</t>
  </si>
  <si>
    <t>Qk=2(Tj)</t>
  </si>
  <si>
    <t>FPh(Tj)</t>
  </si>
  <si>
    <t>Fan Speed k=2</t>
  </si>
  <si>
    <t>Fan Speed k=1</t>
  </si>
  <si>
    <t>Ek=1(Tj)</t>
  </si>
  <si>
    <t>Ek=2(Tj)</t>
  </si>
  <si>
    <t>X1(Tj)</t>
  </si>
  <si>
    <t>X(2Tj)</t>
  </si>
  <si>
    <t>Power</t>
  </si>
  <si>
    <t>Voltage</t>
  </si>
  <si>
    <t>Qk=v(Tj)</t>
  </si>
  <si>
    <t>Heating Intermediate Compressor Speed Calculations</t>
  </si>
  <si>
    <t>Cooling Intermediate Compressor Speed Calculations</t>
  </si>
  <si>
    <t>H2v Test</t>
  </si>
  <si>
    <t>Qk=1(35)</t>
  </si>
  <si>
    <t>Ek=1(35)</t>
  </si>
  <si>
    <t>Ek=i(Tj)</t>
  </si>
  <si>
    <t>Tvh</t>
  </si>
  <si>
    <t>T4</t>
  </si>
  <si>
    <t>T3</t>
  </si>
  <si>
    <t>(C*DHR)/(65-Tod)</t>
  </si>
  <si>
    <t>(Ho1-H11)/(62-47)</t>
  </si>
  <si>
    <t>H11/Sigma</t>
  </si>
  <si>
    <t>Phi</t>
  </si>
  <si>
    <t>Sigma-4</t>
  </si>
  <si>
    <t>Sigma-3</t>
  </si>
  <si>
    <t>(H22-H32)/(35-17)</t>
  </si>
  <si>
    <t>COP(T3)</t>
  </si>
  <si>
    <t>COP(T4)</t>
  </si>
  <si>
    <t>COP(Tvh)</t>
  </si>
  <si>
    <t>COPk=i</t>
  </si>
  <si>
    <t>Design Heating Requirement (DHR) for HSPF</t>
  </si>
  <si>
    <t>Space Heating Capacity for DHR (Qhk(47))</t>
  </si>
  <si>
    <t>Test for Space Heating Capacity for DHR (Qhk(47))</t>
  </si>
  <si>
    <t>Outdoor temperature when compressor is automatically turned back on, Ton</t>
  </si>
  <si>
    <t>Outdoor temperature when compressor is automatically shut off, Toff</t>
  </si>
  <si>
    <t>Unit locks out low compressor capacity at low outdoor temperatures</t>
  </si>
  <si>
    <t>Qk=2/(3.413*Ek=2)</t>
  </si>
  <si>
    <t>Do room-side and outdoor-side capacity agree within 6%?</t>
  </si>
  <si>
    <t>Indoor Unit Airflow (cfm)</t>
  </si>
  <si>
    <t>Indoor Unit Standard Airflow (scfm)</t>
  </si>
  <si>
    <t>Correction (if applicable)</t>
  </si>
  <si>
    <t>Input cell</t>
  </si>
  <si>
    <t>Step 6-1</t>
  </si>
  <si>
    <t>Step 6-2</t>
  </si>
  <si>
    <t>Step 6-3</t>
  </si>
  <si>
    <t>Step 6-4</t>
  </si>
  <si>
    <t>Step 6-5</t>
  </si>
  <si>
    <t>Step 6-6</t>
  </si>
  <si>
    <t>Step 6-7</t>
  </si>
  <si>
    <t>Step 6-8</t>
  </si>
  <si>
    <t>Step 6-9</t>
  </si>
  <si>
    <t>Step 6-10</t>
  </si>
  <si>
    <t>Step 6-11</t>
  </si>
  <si>
    <t>Step 6-12</t>
  </si>
  <si>
    <t>Step 6-13</t>
  </si>
  <si>
    <t>Step 6-14</t>
  </si>
  <si>
    <t>Instructions</t>
  </si>
  <si>
    <t>General Info and Test Results</t>
  </si>
  <si>
    <t>Test Settings</t>
  </si>
  <si>
    <t>Calculations</t>
  </si>
  <si>
    <t>A Test Recorded Data</t>
  </si>
  <si>
    <t>B Test Recorded Data</t>
  </si>
  <si>
    <t>F Test Recorded Data</t>
  </si>
  <si>
    <t>Ev Test Recorded Data</t>
  </si>
  <si>
    <t>Optional C Test Recorded Data</t>
  </si>
  <si>
    <t>Optional D Test Recorded Data</t>
  </si>
  <si>
    <t>Optional G Test Recorded Data</t>
  </si>
  <si>
    <t>Optional I Test Recorded Data</t>
  </si>
  <si>
    <t>H1 Test Recorded Data</t>
  </si>
  <si>
    <t>H2 Test Recorded Data</t>
  </si>
  <si>
    <t>H3 Test Recorded Data</t>
  </si>
  <si>
    <t>Optional H1C Test Recorded Data</t>
  </si>
  <si>
    <t>Optional H0C Test Recorded Data</t>
  </si>
  <si>
    <t>Tables</t>
  </si>
  <si>
    <t>Version Control</t>
  </si>
  <si>
    <t>Report Sign-off Block</t>
  </si>
  <si>
    <t>Test Comments</t>
  </si>
  <si>
    <t>Result</t>
  </si>
  <si>
    <t>Measured Values</t>
  </si>
  <si>
    <t>[MM/DD/YYYY]</t>
  </si>
  <si>
    <t>(F1/θ)+65</t>
  </si>
  <si>
    <t>67*(σ/θ)</t>
  </si>
  <si>
    <t>(1-(σ/θ))</t>
  </si>
  <si>
    <t>Product Information</t>
  </si>
  <si>
    <t>Cyclic degradation coefficient</t>
  </si>
  <si>
    <t>STEP:</t>
  </si>
  <si>
    <t>FILL IN INPUT CELLS IN THIS TAB:</t>
  </si>
  <si>
    <t>Fill in the Recorded Data tabs for the appropriate completed tests (see table at right):</t>
  </si>
  <si>
    <t>LEGEND</t>
  </si>
  <si>
    <t>Rated Performance (Complete Unit)</t>
  </si>
  <si>
    <t>Instrument Type</t>
  </si>
  <si>
    <t>Brand</t>
  </si>
  <si>
    <t>Model #</t>
  </si>
  <si>
    <t>Sensor Location</t>
  </si>
  <si>
    <t>Sensor Placement</t>
  </si>
  <si>
    <t>Packaged unit (if applicable)</t>
  </si>
  <si>
    <t>Outdoor unit (if applicable)</t>
  </si>
  <si>
    <t>Indoor unit (if applicable)</t>
  </si>
  <si>
    <t>Describe the space-constrained sleeve that was selected for this test, including manufacturer, model number, and dimensions.  Please note if this sleeve was recommended or listed for use with this unit</t>
  </si>
  <si>
    <t>2. Identification sticker showing model number and serial number.</t>
  </si>
  <si>
    <t>3. FTC EnergyGuide label (if present).</t>
  </si>
  <si>
    <t>4. Sticker showing nameplate information (if separate from #1)</t>
  </si>
  <si>
    <t>5. Exact placement of all sensors on, in, or around the device (please label appropriately, take multiple pictures if neccesary)</t>
  </si>
  <si>
    <t>6. Picture of central air conditioner  or heat pump as installed in final set-up (evaporator side)</t>
  </si>
  <si>
    <t>7. Picture of central air conditioner or heat pump as installed in final set-up (condenser side)</t>
  </si>
  <si>
    <t>8. Central air conditioner and/or heat pump control panel or controls as set during test</t>
  </si>
  <si>
    <t>9. [IF NEEDED] Picture showing how test kit components were applied in test set-up (take multiple if needed, for example: front and back)</t>
  </si>
  <si>
    <t>11. Additional Photos (if necessary)</t>
  </si>
  <si>
    <t>Product Reported Cooling Capacity:</t>
  </si>
  <si>
    <t>Product Reported Heating Capacity:</t>
  </si>
  <si>
    <t xml:space="preserve"> V</t>
  </si>
  <si>
    <t xml:space="preserve"> W</t>
  </si>
  <si>
    <t>Ducted?</t>
  </si>
  <si>
    <t>Demand Defrost Control System?</t>
  </si>
  <si>
    <t>NOTE: This is a copy; sign-off is done in the Report Sign-Off Block tab</t>
  </si>
  <si>
    <t>(1) Include all instructions, including those for refrigerant charge, refrigerant superheat, etc. (2) A PDF file containing the instructions (downloaded or scanned) is acceptable.</t>
  </si>
  <si>
    <t>Photos 1-4 are to be taken of the unit directly out of the box, before installation.</t>
  </si>
  <si>
    <t>10. [IF NEEDED] Picture of test kit components (such as foam insulation) used with test set-up</t>
  </si>
  <si>
    <r>
      <rPr>
        <b/>
        <sz val="11"/>
        <color indexed="8"/>
        <rFont val="Palatino Linotype"/>
        <family val="1"/>
      </rPr>
      <t xml:space="preserve">&gt;&gt;&gt;&gt;&gt;&gt;&gt;&gt;&gt;&gt;  </t>
    </r>
    <r>
      <rPr>
        <sz val="11"/>
        <color indexed="8"/>
        <rFont val="Palatino Linotype"/>
        <family val="1"/>
      </rPr>
      <t>Paste additional pictures describing the sleeve installation to</t>
    </r>
  </si>
  <si>
    <r>
      <t xml:space="preserve">&gt;&gt;&gt;&gt;&gt;&gt;&gt;&gt;&gt;&gt; </t>
    </r>
    <r>
      <rPr>
        <b/>
        <sz val="12"/>
        <color indexed="8"/>
        <rFont val="Palatino Linotype"/>
        <family val="1"/>
      </rPr>
      <t xml:space="preserve"> </t>
    </r>
    <r>
      <rPr>
        <sz val="12"/>
        <color indexed="8"/>
        <rFont val="Palatino Linotype"/>
        <family val="1"/>
      </rPr>
      <t>Paste photo(s) showing exact placement of all sensors on, in, or around the unit to</t>
    </r>
  </si>
  <si>
    <t>Quote the manufacturer instructions for installing this unit, and note in detail all differences between the manufacturer instructions and the actual installation.</t>
  </si>
  <si>
    <t>Quote the relevant manufacturer instructions for installing this unit, as it pertains to this test.  (May use a focused picture with instructions)</t>
  </si>
  <si>
    <t>1.  Picture of unit (indoor and outdoor) on both sides, once it is out of the package.  (Include as many pictures as neccesary)</t>
  </si>
  <si>
    <r>
      <rPr>
        <b/>
        <sz val="12"/>
        <color indexed="8"/>
        <rFont val="Palatino Linotype"/>
        <family val="1"/>
      </rPr>
      <t>&gt;&gt;&gt;&gt;&gt;&gt;&gt;&gt;&gt;&gt;</t>
    </r>
    <r>
      <rPr>
        <sz val="12"/>
        <color indexed="8"/>
        <rFont val="Palatino Linotype"/>
        <family val="1"/>
      </rPr>
      <t xml:space="preserve">  Paste photo(s) showing exact settings and/or displays for the unit (during test) to</t>
    </r>
  </si>
  <si>
    <t>Cooling Setting *</t>
  </si>
  <si>
    <t>Heating Setting *</t>
  </si>
  <si>
    <t>Fan Setting *</t>
  </si>
  <si>
    <t>Temperature Setting *</t>
  </si>
  <si>
    <t xml:space="preserve">          * Include unit of measure if necessary</t>
  </si>
  <si>
    <t>--- Setting *</t>
  </si>
  <si>
    <t>Describe settings used on the central air conditioner or heat pump for test, or reference any picture of controls in the 'Photos' Tab</t>
  </si>
  <si>
    <t>Tj</t>
  </si>
  <si>
    <t>°F</t>
  </si>
  <si>
    <t>BL(Tj)</t>
  </si>
  <si>
    <t>Eh(Tj)</t>
  </si>
  <si>
    <t>H1N Test</t>
  </si>
  <si>
    <t>Cyclic-Degradation Coefficient (CD)</t>
  </si>
  <si>
    <t>EERB</t>
  </si>
  <si>
    <t>Outdoor Design Temperature (TOD)</t>
  </si>
  <si>
    <t>Cyclic degradation coefficient, Cdh</t>
  </si>
  <si>
    <t>Cyclic degradation coefficient, Cd</t>
  </si>
  <si>
    <t>Nomenclature</t>
  </si>
  <si>
    <t>Building space conditioning load corresponding to an outdoor temperature of Tj</t>
  </si>
  <si>
    <t>Space heating capacity when operating at outdoor temperature Tj</t>
  </si>
  <si>
    <t>Heating model load factor for temperature Tj</t>
  </si>
  <si>
    <t>Electrical power consumption when operating at outdoor temperature Tj</t>
  </si>
  <si>
    <t>Heat pump low temperature cut-out factor</t>
  </si>
  <si>
    <t>Part load factor</t>
  </si>
  <si>
    <t>Demand defrost credit</t>
  </si>
  <si>
    <t>'A Test' Conditions Summary - Test Chamber Devices</t>
  </si>
  <si>
    <t>'B Test' Conditions Summary - Test Chamber Devices</t>
  </si>
  <si>
    <t>'B2 Test' Data to be recorded</t>
  </si>
  <si>
    <t>'F1 Test' Data to be recorded</t>
  </si>
  <si>
    <t>'F Test' Conditions Summary - Test Chamber Devices</t>
  </si>
  <si>
    <t>Indoor Nozzle Pressure Delta (in. WC)</t>
  </si>
  <si>
    <t>'C2 Test' Data to be recorded</t>
  </si>
  <si>
    <t>'D2 Test' Data to be recorded</t>
  </si>
  <si>
    <t>'G1 Test' Data to be recorded</t>
  </si>
  <si>
    <t>'H1-1 (H1) Test' Data to be recorded</t>
  </si>
  <si>
    <t>'H1-2 Test' Data to be recorded</t>
  </si>
  <si>
    <t>'H1-N Test' Data (Optional for Variable-Speed Compressor) to be recorded</t>
  </si>
  <si>
    <t>'H2-1 Test' Data to be recorded</t>
  </si>
  <si>
    <t>'H2-2 Test' Data to be recorded</t>
  </si>
  <si>
    <t>'H2-V Test' Data to be recorded</t>
  </si>
  <si>
    <t>'H3-1 Test' Data to be recorded</t>
  </si>
  <si>
    <t>H3-2 Test' Data to be recorded</t>
  </si>
  <si>
    <t>'H0C-1 Test' Data to be recorded</t>
  </si>
  <si>
    <t>'H1C-2 Test' Data to be recorded</t>
  </si>
  <si>
    <t>Template Completion</t>
  </si>
  <si>
    <t>Indoor external static pressure (in. H2O)</t>
  </si>
  <si>
    <t>Indoor Fan Speed (rpm)</t>
  </si>
  <si>
    <t>Date of Last Calibration for Test Room</t>
  </si>
  <si>
    <t>Total Indoor Unit Energy (Watts)</t>
  </si>
  <si>
    <t>Capacitor (If possible without tampering with unit)</t>
  </si>
  <si>
    <t>Applied voltage to outdoor unit (V)</t>
  </si>
  <si>
    <t>Applied voltage to indoor unit (V)</t>
  </si>
  <si>
    <t>'A2 Test' Data to be recorded</t>
  </si>
  <si>
    <t>Total Indoor Unit Power (Watts)</t>
  </si>
  <si>
    <t>`</t>
  </si>
  <si>
    <t>Total Indoor Unit Energy (Watts-hours)</t>
  </si>
  <si>
    <t>Total Space Cooling Delivered (Qcycdry in Btu, see Appendix M section 3.5.i)</t>
  </si>
  <si>
    <t>Secondary Method Total Space Cooling Delivered (Qcycdry in Btu, 
see Appendix M section 3.5.i)</t>
  </si>
  <si>
    <t>Total System Energy (Ecycdry in watts-hours, 
see Appendix M sections 3.5.h and 3.5.i)</t>
  </si>
  <si>
    <t>Corrected Total Space Cooling Delivered (Qcycdry in Btu, see Appendix M section 3.5.i)</t>
  </si>
  <si>
    <t>Net sensible corrected capacity (Btu/hr)</t>
  </si>
  <si>
    <t>Total System Power (Watts)</t>
  </si>
  <si>
    <t>Total System  Power (Watts)</t>
  </si>
  <si>
    <t>Total Space Heating Delivered (Qcycdry in Btu, see Appendix M section 3.8)</t>
  </si>
  <si>
    <t>Corrected Total Space Heating Delivered (Qcycdry in Btu, see Appendix M section 3.8)</t>
  </si>
  <si>
    <t>Secondary Method Total Space Heating Delivered (Qcycdry in Btu, 
see Appendix M section 3.8)</t>
  </si>
  <si>
    <t>Total Indoor Unit Energy (watt-hours)</t>
  </si>
  <si>
    <t>Total Indoor Unit Energy (Watt-hours)</t>
  </si>
  <si>
    <t xml:space="preserve">Total Measurement </t>
  </si>
  <si>
    <t>Average Measurement During On Cycle</t>
  </si>
  <si>
    <t>Total Measurement</t>
  </si>
  <si>
    <t>Tab</t>
  </si>
  <si>
    <t>Contents</t>
  </si>
  <si>
    <t>Automated calculations of results.</t>
  </si>
  <si>
    <t xml:space="preserve">Lab Information </t>
  </si>
  <si>
    <t>Test Information</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</si>
  <si>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</si>
  <si>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</si>
  <si>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</si>
  <si>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Setup (This table should include instrumentation, sensors, and all equipment used during testing)</t>
  </si>
  <si>
    <t xml:space="preserve">Setup of test room </t>
  </si>
  <si>
    <t>Setup of central air conditioner or heat pump</t>
  </si>
  <si>
    <t>Space-constrained air conditioners and heat pumps (formerly through-the-wall central air conditioners and heat pumps- [IF NECCESARY]</t>
  </si>
  <si>
    <t xml:space="preserve">Latest Template Revision: </t>
  </si>
  <si>
    <t xml:space="preserve"> 'I1 Test' Data to be recorded</t>
  </si>
  <si>
    <t>Total System Energy (Ecycdry in watts-hours, see Appendix M section 3.8)</t>
  </si>
  <si>
    <t>Report Reviewer by Test Lab</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</si>
  <si>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</si>
  <si>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Length of Compressor Run-in Time (hours)</t>
  </si>
  <si>
    <t>Two-Speed</t>
  </si>
  <si>
    <t>Variable-Speed</t>
  </si>
  <si>
    <t>Single-Speed</t>
  </si>
  <si>
    <t>Test Results</t>
  </si>
  <si>
    <t>Single-Speed Compressor, Fixed Fan Speed Calculations</t>
  </si>
  <si>
    <t>Time between defrost terminations (in hours)</t>
  </si>
  <si>
    <t>Duration of the OFF/ON intervals</t>
  </si>
  <si>
    <t>EERa</t>
  </si>
  <si>
    <t>Yes</t>
  </si>
  <si>
    <t>Cyclic-Degradation Coefficient [CD(k=2)]</t>
  </si>
  <si>
    <t>X2(Tj)</t>
  </si>
  <si>
    <t>'H0-1 Test' Data to be recorded</t>
  </si>
  <si>
    <t>Maximum</t>
  </si>
  <si>
    <t>H1-2</t>
  </si>
  <si>
    <t>Ek=v(Tj)</t>
  </si>
  <si>
    <t>17&lt;T4&lt;45</t>
  </si>
  <si>
    <t>Sigma-5</t>
  </si>
  <si>
    <t>(H12-H32)/(47-17)</t>
  </si>
  <si>
    <t xml:space="preserve">Split System? </t>
  </si>
  <si>
    <t>Duration</t>
  </si>
  <si>
    <t>Yes_No</t>
  </si>
  <si>
    <t>No</t>
  </si>
  <si>
    <t>Central Heat Pump</t>
  </si>
  <si>
    <t>Heating Only Central Heat Pump</t>
  </si>
  <si>
    <t xml:space="preserve">Central Air Conditioner </t>
  </si>
  <si>
    <t>Compressor_Type</t>
  </si>
  <si>
    <t>Fan_Type</t>
  </si>
  <si>
    <t>Fixed Speed</t>
  </si>
  <si>
    <t>Variable Speed</t>
  </si>
  <si>
    <t>Refrigerant_Type</t>
  </si>
  <si>
    <t>R-22</t>
  </si>
  <si>
    <t>R-410a</t>
  </si>
  <si>
    <t>Other</t>
  </si>
  <si>
    <t>Controls_Type</t>
  </si>
  <si>
    <t>Electronic</t>
  </si>
  <si>
    <t>Electromechanical</t>
  </si>
  <si>
    <t>Minimum</t>
  </si>
  <si>
    <t>Min_Max</t>
  </si>
  <si>
    <t>H1-1</t>
  </si>
  <si>
    <t>H1-N</t>
  </si>
  <si>
    <t>H1</t>
  </si>
  <si>
    <t>H1_Type</t>
  </si>
  <si>
    <t>Multi-Split System?</t>
  </si>
  <si>
    <t>Drop-Downs</t>
  </si>
  <si>
    <t>Drop-downs used</t>
  </si>
  <si>
    <t>Recorded data for the EV test (steady-state wet coil cooling mode)</t>
  </si>
  <si>
    <t>Recorded data for the Optional C Tests (steady-state dry coil cooling mode)</t>
  </si>
  <si>
    <t>Recorded data for the A Tests (steady-state wet coil cooling mode)</t>
  </si>
  <si>
    <t>Recorded data for the B Tests (steady-state wet coil cooling mode)</t>
  </si>
  <si>
    <t>Recorded data for the F Test (steady-state wet coil cooling mode)</t>
  </si>
  <si>
    <t>Recorded data for the Optional D Tests (cyclic dry coil cooling mode)</t>
  </si>
  <si>
    <t>Recorded data for the Optional G Test (steady-state dry coil cooling mode)</t>
  </si>
  <si>
    <t>Recorded data for the Optional I Test (cyclic dry coil cooling mode)</t>
  </si>
  <si>
    <t>Recorded data for the H0 Test (steady-state maximum temperature and high temperature heating mode)</t>
  </si>
  <si>
    <t>Recorded data for the H1 Tests (steady-state maximum temperature and high temperature heating mode)</t>
  </si>
  <si>
    <t>Recorded data for the H2 Tests (frost accumulation heating mode)</t>
  </si>
  <si>
    <t>Recorded data for the H3 Tests (steady-state low temperature heating mode)</t>
  </si>
  <si>
    <t>Recorded data for the Optional H0C Test (cyclic heating mode)</t>
  </si>
  <si>
    <t>Recorded data for the Optional H1C Tests (cyclic heating mode)</t>
  </si>
  <si>
    <t>Report review history</t>
  </si>
  <si>
    <t>Regional temperature tables</t>
  </si>
  <si>
    <t>Revision history</t>
  </si>
  <si>
    <t>Instructions for Completing this Template</t>
  </si>
  <si>
    <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</si>
  <si>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Instructions and table of contents</t>
  </si>
  <si>
    <t>Lab information, product information and test results</t>
  </si>
  <si>
    <t>Input for list of instruments used and instrument calibration data</t>
  </si>
  <si>
    <t>Input for description of test setup</t>
  </si>
  <si>
    <t>Input for photographs taken of the test setup and device</t>
  </si>
  <si>
    <t>Input for any notable information about the test</t>
  </si>
  <si>
    <t>Provided data</t>
  </si>
  <si>
    <t>NOT USED</t>
  </si>
  <si>
    <t>Back to Instructions tab</t>
  </si>
  <si>
    <t>Setting</t>
  </si>
  <si>
    <t>Comments</t>
  </si>
  <si>
    <t>H0-1 Test Recorded Data</t>
  </si>
  <si>
    <t>δ(Tj)</t>
  </si>
  <si>
    <t>T4≥ 45 or T4≤17</t>
  </si>
  <si>
    <r>
      <t>Fraction of of total temperature bin hours, n</t>
    </r>
    <r>
      <rPr>
        <b/>
        <vertAlign val="subscript"/>
        <sz val="11"/>
        <color indexed="8"/>
        <rFont val="Palatino Linotype"/>
        <family val="1"/>
      </rPr>
      <t>j</t>
    </r>
    <r>
      <rPr>
        <b/>
        <sz val="11"/>
        <color indexed="8"/>
        <rFont val="Palatino Linotype"/>
        <family val="1"/>
      </rPr>
      <t>/N</t>
    </r>
  </si>
  <si>
    <t>Lock out Temperature (°F):</t>
  </si>
  <si>
    <t>IEER Tests Recorded Data</t>
  </si>
  <si>
    <t>IEER Calculations</t>
  </si>
  <si>
    <t>Step 6-15</t>
  </si>
  <si>
    <t>Step 6-16</t>
  </si>
  <si>
    <t>IEER</t>
  </si>
  <si>
    <t>Back to Instructions</t>
  </si>
  <si>
    <r>
      <t xml:space="preserve">This worksheet compiles relevant data from the "A Test Recorded Data" tab and user inputs for use on the "IEER Calculations" tab.  
</t>
    </r>
    <r>
      <rPr>
        <b/>
        <u/>
        <sz val="11"/>
        <color theme="1"/>
        <rFont val="Palatino Linotype"/>
        <family val="1"/>
      </rPr>
      <t xml:space="preserve">Steps to Complete this Tab
</t>
    </r>
    <r>
      <rPr>
        <sz val="11"/>
        <color theme="1"/>
        <rFont val="Palatino Linotype"/>
        <family val="1"/>
      </rPr>
      <t xml:space="preserve">- Select the number of individual tests performed to determine IEER in the "IEER Tests Conditions Summary" section. 
- Because results from  "A Test" comprise Test 1 of the IEER test sequence, data previously recorded on the "A Test Recorded Data" tab will be filled in automatically for Test 1. 
- Complete the additional blue cells for Test 1. 
- Enter data in the blue cells for each additional test. 
</t>
    </r>
    <r>
      <rPr>
        <b/>
        <sz val="11"/>
        <color theme="1"/>
        <rFont val="Palatino Linotype"/>
        <family val="1"/>
      </rPr>
      <t/>
    </r>
  </si>
  <si>
    <t>'IEER Tests' Conditions Summary</t>
  </si>
  <si>
    <t>Number of Tests Performed</t>
  </si>
  <si>
    <t>IEER Test Data to be Recorded (Tests 1-4)</t>
  </si>
  <si>
    <t>'IEER Tests' Conditions Summary - Test Chamber Devices</t>
  </si>
  <si>
    <t>Test 1</t>
  </si>
  <si>
    <t>Test 2</t>
  </si>
  <si>
    <t>Test 3</t>
  </si>
  <si>
    <t>Test 4</t>
  </si>
  <si>
    <t>Compressor Power (Watts)</t>
  </si>
  <si>
    <t>Condenser Fan Power (Watts)</t>
  </si>
  <si>
    <t>Indoor Fan Motor Power (Watts)</t>
  </si>
  <si>
    <t>Control Circuit Power (Watts)</t>
  </si>
  <si>
    <t>IEER Test Data to be Recorded (Tests 5-8)</t>
  </si>
  <si>
    <t xml:space="preserve">'IEER Tests' Conditions Summary - Test Chamber Devices  </t>
  </si>
  <si>
    <t>Test 5</t>
  </si>
  <si>
    <t>Test 6</t>
  </si>
  <si>
    <t>Test 7</t>
  </si>
  <si>
    <t>Test 8</t>
  </si>
  <si>
    <t>IEER Recorded Data</t>
  </si>
  <si>
    <t>Test #</t>
  </si>
  <si>
    <r>
      <t>Ambient (</t>
    </r>
    <r>
      <rPr>
        <b/>
        <sz val="11"/>
        <color theme="1"/>
        <rFont val="Calibri"/>
        <family val="2"/>
      </rPr>
      <t>˚F)</t>
    </r>
  </si>
  <si>
    <t>Actual % Load</t>
  </si>
  <si>
    <t>Net Cap</t>
  </si>
  <si>
    <r>
      <t>Cmpr (P</t>
    </r>
    <r>
      <rPr>
        <b/>
        <vertAlign val="subscript"/>
        <sz val="11"/>
        <color theme="1"/>
        <rFont val="Palatino Linotype"/>
        <family val="1"/>
      </rPr>
      <t>C</t>
    </r>
    <r>
      <rPr>
        <b/>
        <sz val="11"/>
        <color theme="1"/>
        <rFont val="Palatino Linotype"/>
        <family val="1"/>
      </rPr>
      <t>)</t>
    </r>
  </si>
  <si>
    <r>
      <t>Cond (P</t>
    </r>
    <r>
      <rPr>
        <b/>
        <vertAlign val="subscript"/>
        <sz val="11"/>
        <color theme="1"/>
        <rFont val="Palatino Linotype"/>
        <family val="1"/>
      </rPr>
      <t>CF</t>
    </r>
    <r>
      <rPr>
        <b/>
        <sz val="11"/>
        <color theme="1"/>
        <rFont val="Palatino Linotype"/>
        <family val="1"/>
      </rPr>
      <t>)</t>
    </r>
  </si>
  <si>
    <r>
      <t>Indoor (P</t>
    </r>
    <r>
      <rPr>
        <b/>
        <vertAlign val="subscript"/>
        <sz val="11"/>
        <color theme="1"/>
        <rFont val="Palatino Linotype"/>
        <family val="1"/>
      </rPr>
      <t>IF</t>
    </r>
    <r>
      <rPr>
        <b/>
        <sz val="11"/>
        <color theme="1"/>
        <rFont val="Palatino Linotype"/>
        <family val="1"/>
      </rPr>
      <t>)</t>
    </r>
  </si>
  <si>
    <r>
      <t>Control (P</t>
    </r>
    <r>
      <rPr>
        <b/>
        <vertAlign val="subscript"/>
        <sz val="11"/>
        <color theme="1"/>
        <rFont val="Palatino Linotype"/>
        <family val="1"/>
      </rPr>
      <t>CT</t>
    </r>
    <r>
      <rPr>
        <b/>
        <sz val="11"/>
        <color theme="1"/>
        <rFont val="Palatino Linotype"/>
        <family val="1"/>
      </rPr>
      <t>)</t>
    </r>
  </si>
  <si>
    <t>EER</t>
  </si>
  <si>
    <t>Calculations Table</t>
  </si>
  <si>
    <t>Target % Capacity</t>
  </si>
  <si>
    <t>Calculation Type</t>
  </si>
  <si>
    <t>Test-1 ID #</t>
  </si>
  <si>
    <t>Test-2 ID #</t>
  </si>
  <si>
    <t>EER (Calc.)</t>
  </si>
  <si>
    <r>
      <t>C</t>
    </r>
    <r>
      <rPr>
        <b/>
        <vertAlign val="subscript"/>
        <sz val="11"/>
        <color theme="1"/>
        <rFont val="Palatino Linotype"/>
        <family val="1"/>
      </rPr>
      <t>D</t>
    </r>
  </si>
  <si>
    <t>LF</t>
  </si>
  <si>
    <t>Were the test rooms set up according to sections 8.1.2 and 8.1.3 of ASHRAE Standard 37-2005?</t>
  </si>
  <si>
    <t>If No, list and describe all differences between actual setup and incorporated sections 8.1.2 and 8.1.3 of ASHRAE Standard 37-2005.</t>
  </si>
  <si>
    <t>Was the test unit set up according to the applicable sections of ASHRAE Standard 37-2005 and AHRI Standard 340/360 or AHRI Standard 210/240?</t>
  </si>
  <si>
    <t>If No, list and describe all differences between actual setup and incorporated sections of ASHRAE Standard 37-2005 and AHRI Standard 340/360 or AHRI Standard 210/240.</t>
  </si>
  <si>
    <t>Commercial Central Air Conditioner or Heat Pump Settings - Controls</t>
  </si>
  <si>
    <t>IEER_Tests</t>
  </si>
  <si>
    <t>IEER_Calc</t>
  </si>
  <si>
    <t>Actual Test</t>
  </si>
  <si>
    <t>Interpolation</t>
  </si>
  <si>
    <t>COP</t>
  </si>
  <si>
    <t>Product Reported IEER:</t>
  </si>
  <si>
    <t>Product Reported COP (if applicable):</t>
  </si>
  <si>
    <t xml:space="preserve"> BTU/hr</t>
  </si>
  <si>
    <t>Tabs</t>
  </si>
  <si>
    <t>Tabs with input cells</t>
  </si>
  <si>
    <t>Cells</t>
  </si>
  <si>
    <t>Auto-populated cell</t>
  </si>
  <si>
    <t>v1.2_draft1</t>
  </si>
  <si>
    <t>Title Block</t>
  </si>
  <si>
    <t>Test Report Template Name:</t>
  </si>
  <si>
    <t>v1.2_draft2</t>
  </si>
  <si>
    <t>Unrounded result</t>
  </si>
  <si>
    <t>Calculated Result (rounded per significant figures conventions and instrumentation resolution)</t>
  </si>
  <si>
    <t>EERa Results</t>
  </si>
  <si>
    <t>Compressor &amp; Fan Combination</t>
  </si>
  <si>
    <t>Single-Speed Compressor, Fixed-Speed Fan</t>
  </si>
  <si>
    <t>Single-Speed Compressor, Variable-Speed Fan</t>
  </si>
  <si>
    <t>Two-Speed Compressor, Variable-Speed Fan</t>
  </si>
  <si>
    <t>Variable-Speed Compressor, Variable-Speed Fan</t>
  </si>
  <si>
    <t>COP Results</t>
  </si>
  <si>
    <t>Single-Speed Compressor</t>
  </si>
  <si>
    <t>Variable-Speed Compressor</t>
  </si>
  <si>
    <t>the Photos tab (Photo Box #5)</t>
  </si>
  <si>
    <t>the 'Photos' tab (Photo Box #9 through #11)</t>
  </si>
  <si>
    <t>the Photos tab (Photo Box #8)</t>
  </si>
  <si>
    <t>Calculated Result 
(rounded per significant figures conventions and instrumentation resolution)</t>
  </si>
  <si>
    <t>'Ev Test' Data to be recorded</t>
  </si>
  <si>
    <r>
      <t>Outdoor Design Temperature, T</t>
    </r>
    <r>
      <rPr>
        <b/>
        <vertAlign val="subscript"/>
        <sz val="11"/>
        <color indexed="8"/>
        <rFont val="Palatino Linotype"/>
        <family val="1"/>
      </rPr>
      <t>OD</t>
    </r>
  </si>
  <si>
    <r>
      <t>Fractional Bin Hours, n</t>
    </r>
    <r>
      <rPr>
        <b/>
        <vertAlign val="subscript"/>
        <sz val="11"/>
        <color indexed="8"/>
        <rFont val="Palatino Linotype"/>
        <family val="1"/>
      </rPr>
      <t>j</t>
    </r>
    <r>
      <rPr>
        <b/>
        <sz val="11"/>
        <color indexed="8"/>
        <rFont val="Palatino Linotype"/>
        <family val="1"/>
      </rPr>
      <t>/N</t>
    </r>
  </si>
  <si>
    <t>Commercial Air Conditioner and Heat Pump</t>
  </si>
  <si>
    <t>v2.0</t>
  </si>
  <si>
    <t>10 CFR 431.96-Uniform Test Method for Measurement of Energy Efficiency of Small, Large, &amp; Very Large Commercial Packaged Air-Conditioning &amp; Heating Equipment, &amp; Packaged Terminal Air Conditioners &amp; Heat Pumps</t>
  </si>
  <si>
    <t>v2.1</t>
  </si>
  <si>
    <t>v2.2</t>
  </si>
  <si>
    <t>Cyclic Degradation</t>
  </si>
  <si>
    <t>IEER Calculcations</t>
  </si>
  <si>
    <r>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r>
    <r>
      <rPr>
        <b/>
        <sz val="11"/>
        <rFont val="Palatino Linotype"/>
        <family val="1"/>
      </rPr>
      <t xml:space="preserve">For ENERGY STAR and DOE Testing: </t>
    </r>
    <r>
      <rPr>
        <sz val="11"/>
        <rFont val="Palatino Linotype"/>
        <family val="1"/>
      </rPr>
      <t>Complete all appropriate tabs, including "IEER Tests Recorded Data" and "IEER Calculations"</t>
    </r>
  </si>
  <si>
    <t>Automated calculations of results for IEER Tests</t>
  </si>
  <si>
    <t>Recorded Data for the IEER Tests</t>
  </si>
  <si>
    <r>
      <t xml:space="preserve">This worksheet will input relevant data from the "IEER Tests Recorded Data" tab.  In the "Calculations Table" the user must select one of three methods for determining EER at the target percentage capacities according to Section 6.2 of AHRI Standard 340/360 - 2007:
</t>
    </r>
    <r>
      <rPr>
        <b/>
        <sz val="11"/>
        <color theme="1"/>
        <rFont val="Palatino Linotype"/>
        <family val="1"/>
      </rPr>
      <t>Actual Test Data</t>
    </r>
    <r>
      <rPr>
        <sz val="11"/>
        <color theme="1"/>
        <rFont val="Palatino Linotype"/>
        <family val="1"/>
      </rPr>
      <t xml:space="preserve">: Choose this option if a test was run within ± 3% of the target % load at the given ambient conditions.
</t>
    </r>
    <r>
      <rPr>
        <b/>
        <sz val="11"/>
        <color theme="1"/>
        <rFont val="Palatino Linotype"/>
        <family val="1"/>
      </rPr>
      <t>Interpolation</t>
    </r>
    <r>
      <rPr>
        <sz val="11"/>
        <color theme="1"/>
        <rFont val="Palatino Linotype"/>
        <family val="1"/>
      </rPr>
      <t xml:space="preserve">: Choose this option if two tests were run on both sides of the target % load, and there is a need to interpolate the result for a certain ambient condition.
</t>
    </r>
    <r>
      <rPr>
        <b/>
        <sz val="11"/>
        <color theme="1"/>
        <rFont val="Palatino Linotype"/>
        <family val="1"/>
      </rPr>
      <t>Cyclic Degradation</t>
    </r>
    <r>
      <rPr>
        <sz val="11"/>
        <color theme="1"/>
        <rFont val="Palatino Linotype"/>
        <family val="1"/>
      </rPr>
      <t>: Choose this option if the unit cannot run below or within ± 3% of the target % load at the given ambient conditions.
IEER = (0.020*A) + (0.617*B) + (0.238*C) + (0.125*D)
           where A = EER at 100% net capacity at standard rating conditions
                        B = EER at 75% net capacity at reduced ambient conditions
                        C = EER at 50% net capacity at reduced ambient conditions
                        D = EER at 25% net capacity at reduced ambient conditions</t>
    </r>
  </si>
  <si>
    <t>NOTE: This template applies to air-cooled commercial air-conditioners and heat-pumps. It does not apply to water-cooled and evaporatively-cooled commercial air-conditioners and heat-pumps.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</si>
</sst>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
  </numFmts>
  <fonts count="56" x14ac:knownFonts="1">
    <font>
      <sz val="11"/>
      <color theme="1"/>
      <name val="Calibri"/>
      <family val="2"/>
      <scheme val="minor"/>
    </font>
    <font>
      <sz val="10"/>
      <name val="Arial"/>
      <family val="2"/>
    </font>
    <font>
      <b/>
      <sz val="11"/>
      <name val="Palatino Linotype"/>
      <family val="2"/>
    </font>
    <font>
      <sz val="11"/>
      <color indexed="8"/>
      <name val="Palatino Linotype"/>
      <family val="1"/>
    </font>
    <font>
      <b/>
      <sz val="11"/>
      <color indexed="8"/>
      <name val="Palatino Linotype"/>
      <family val="1"/>
    </font>
    <font>
      <sz val="11"/>
      <color indexed="9"/>
      <name val="Palatino Linotype"/>
      <family val="1"/>
    </font>
    <font>
      <sz val="11"/>
      <name val="Palatino Linotype"/>
      <family val="2"/>
    </font>
    <font>
      <i/>
      <sz val="11"/>
      <color indexed="57"/>
      <name val="Palatino Linotype"/>
      <family val="2"/>
    </font>
    <font>
      <sz val="11"/>
      <color indexed="10"/>
      <name val="Palatino Linotype"/>
      <family val="1"/>
    </font>
    <font>
      <sz val="11"/>
      <name val="Palatino Linotype"/>
      <family val="1"/>
    </font>
    <font>
      <b/>
      <sz val="11"/>
      <name val="Palatino Linotype"/>
      <family val="1"/>
    </font>
    <font>
      <b/>
      <sz val="12"/>
      <color indexed="8"/>
      <name val="Palatino Linotype"/>
      <family val="1"/>
    </font>
    <font>
      <b/>
      <i/>
      <sz val="11"/>
      <color indexed="8"/>
      <name val="Palatino Linotype"/>
      <family val="1"/>
    </font>
    <font>
      <sz val="13"/>
      <color indexed="8"/>
      <name val="Palatino Linotype"/>
      <family val="1"/>
    </font>
    <font>
      <i/>
      <sz val="12"/>
      <color indexed="8"/>
      <name val="Palatino Linotype"/>
      <family val="1"/>
    </font>
    <font>
      <sz val="12"/>
      <color indexed="8"/>
      <name val="Palatino Linotype"/>
      <family val="1"/>
    </font>
    <font>
      <u/>
      <sz val="12"/>
      <color indexed="12"/>
      <name val="Palatino Linotype"/>
      <family val="1"/>
    </font>
    <font>
      <i/>
      <sz val="12"/>
      <color indexed="10"/>
      <name val="Palatino Linotype"/>
      <family val="1"/>
    </font>
    <font>
      <b/>
      <sz val="12"/>
      <name val="Palatino Linotype"/>
      <family val="1"/>
    </font>
    <font>
      <sz val="12"/>
      <name val="Palatino Linotype"/>
      <family val="1"/>
    </font>
    <font>
      <sz val="12"/>
      <color indexed="9"/>
      <name val="Palatino Linotype"/>
      <family val="1"/>
    </font>
    <font>
      <b/>
      <sz val="14"/>
      <name val="Palatino Linotype"/>
      <family val="1"/>
    </font>
    <font>
      <sz val="11"/>
      <color indexed="13"/>
      <name val="Palatino Linotype"/>
      <family val="1"/>
    </font>
    <font>
      <u/>
      <sz val="11"/>
      <color indexed="12"/>
      <name val="Palatino Linotype"/>
      <family val="1"/>
    </font>
    <font>
      <sz val="10"/>
      <name val="Palatino Linotype"/>
      <family val="1"/>
    </font>
    <font>
      <i/>
      <sz val="11"/>
      <color indexed="8"/>
      <name val="Palatino Linotype"/>
      <family val="1"/>
    </font>
    <font>
      <sz val="8"/>
      <name val="Calibri"/>
      <family val="2"/>
    </font>
    <font>
      <sz val="11"/>
      <color theme="1"/>
      <name val="Calibri"/>
      <family val="2"/>
      <scheme val="minor"/>
    </font>
    <font>
      <sz val="11"/>
      <color theme="0"/>
      <name val="Calibri"/>
      <family val="2"/>
      <scheme val="minor"/>
    </font>
    <font>
      <sz val="11"/>
      <color theme="0"/>
      <name val="Palatino Linotype"/>
      <family val="1"/>
    </font>
    <font>
      <sz val="11"/>
      <color theme="1"/>
      <name val="Palatino Linotype"/>
      <family val="1"/>
    </font>
    <font>
      <i/>
      <sz val="11"/>
      <color rgb="FF7F7F7F"/>
      <name val="Palatino Linotype"/>
      <family val="2"/>
    </font>
    <font>
      <u/>
      <sz val="11"/>
      <color theme="10"/>
      <name val="Palatino Linotype"/>
      <family val="2"/>
    </font>
    <font>
      <u/>
      <sz val="11"/>
      <color theme="10"/>
      <name val="Calibri"/>
      <family val="2"/>
    </font>
    <font>
      <sz val="11"/>
      <color rgb="FF3F3F76"/>
      <name val="Palatino Linotype"/>
      <family val="2"/>
    </font>
    <font>
      <sz val="11"/>
      <color theme="1"/>
      <name val="Palatino Linotype"/>
      <family val="2"/>
    </font>
    <font>
      <b/>
      <sz val="11"/>
      <color theme="9" tint="-0.499984740745262"/>
      <name val="Palatino Linotype"/>
      <family val="2"/>
    </font>
    <font>
      <sz val="11"/>
      <color rgb="FFFF0000"/>
      <name val="Palatino Linotype"/>
      <family val="1"/>
    </font>
    <font>
      <b/>
      <sz val="11"/>
      <color theme="1"/>
      <name val="Palatino Linotype"/>
      <family val="1"/>
    </font>
    <font>
      <sz val="12"/>
      <color theme="0"/>
      <name val="Palatino Linotype"/>
      <family val="1"/>
    </font>
    <font>
      <sz val="11"/>
      <color rgb="FF000000"/>
      <name val="Palatino Linotype"/>
      <family val="1"/>
    </font>
    <font>
      <b/>
      <sz val="11"/>
      <color theme="0"/>
      <name val="Palatino Linotype"/>
      <family val="1"/>
    </font>
    <font>
      <b/>
      <sz val="14"/>
      <color theme="1"/>
      <name val="Palatino Linotype"/>
      <family val="1"/>
    </font>
    <font>
      <u/>
      <sz val="11"/>
      <color theme="10"/>
      <name val="Palatino Linotype"/>
      <family val="1"/>
    </font>
    <font>
      <b/>
      <i/>
      <sz val="14"/>
      <color indexed="8"/>
      <name val="Palatino Linotype"/>
      <family val="1"/>
    </font>
    <font>
      <b/>
      <vertAlign val="subscript"/>
      <sz val="11"/>
      <color indexed="8"/>
      <name val="Palatino Linotype"/>
      <family val="1"/>
    </font>
    <font>
      <sz val="11"/>
      <color indexed="8"/>
      <name val="Palatino Linotype"/>
      <family val="2"/>
    </font>
    <font>
      <b/>
      <sz val="11"/>
      <color indexed="8"/>
      <name val="Palatino Linotype"/>
      <family val="2"/>
    </font>
    <font>
      <sz val="11"/>
      <color rgb="FFFFFF00"/>
      <name val="Palatino Linotype"/>
      <family val="1"/>
    </font>
    <font>
      <u/>
      <sz val="12"/>
      <color theme="10"/>
      <name val="Palatino Linotype"/>
      <family val="1"/>
    </font>
    <font>
      <b/>
      <sz val="12"/>
      <color theme="1"/>
      <name val="Palatino Linotype"/>
      <family val="1"/>
    </font>
    <font>
      <b/>
      <u/>
      <sz val="11"/>
      <color theme="1"/>
      <name val="Palatino Linotype"/>
      <family val="1"/>
    </font>
    <font>
      <i/>
      <sz val="11"/>
      <color theme="1"/>
      <name val="Palatino Linotype"/>
      <family val="1"/>
    </font>
    <font>
      <b/>
      <sz val="11"/>
      <color theme="1"/>
      <name val="Calibri"/>
      <family val="2"/>
    </font>
    <font>
      <b/>
      <vertAlign val="subscript"/>
      <sz val="11"/>
      <color theme="1"/>
      <name val="Palatino Linotype"/>
      <family val="1"/>
    </font>
    <font>
      <sz val="11"/>
      <color rgb="FF000000"/>
      <name val="Palatino Linotype"/>
      <family val="2"/>
    </font>
  </fonts>
  <fills count="28">
    <fill>
      <patternFill patternType="none"/>
    </fill>
    <fill>
      <patternFill patternType="gray125"/>
    </fill>
    <fill>
      <patternFill patternType="solid">
        <fgColor indexed="18"/>
        <bgColor indexed="64"/>
      </patternFill>
    </fill>
    <fill>
      <patternFill patternType="solid">
        <fgColor indexed="11"/>
        <bgColor indexed="64"/>
      </patternFill>
    </fill>
    <fill>
      <patternFill patternType="solid">
        <fgColor indexed="55"/>
        <bgColor indexed="64"/>
      </patternFill>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16"/>
        <bgColor indexed="64"/>
      </patternFill>
    </fill>
    <fill>
      <patternFill patternType="solid">
        <fgColor indexed="42"/>
        <bgColor indexed="64"/>
      </patternFill>
    </fill>
    <fill>
      <patternFill patternType="solid">
        <fgColor theme="9"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0" tint="-0.14996795556505021"/>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FFFF00"/>
        <bgColor indexed="64"/>
      </patternFill>
    </fill>
    <fill>
      <patternFill patternType="solid">
        <fgColor rgb="FF99CCFF"/>
        <bgColor indexed="64"/>
      </patternFill>
    </fill>
    <fill>
      <patternFill patternType="solid">
        <fgColor rgb="FF800000"/>
        <bgColor indexed="64"/>
      </patternFill>
    </fill>
    <fill>
      <patternFill patternType="solid">
        <fgColor theme="0"/>
        <bgColor indexed="64"/>
      </patternFill>
    </fill>
    <fill>
      <patternFill patternType="solid">
        <fgColor rgb="FF0066CC"/>
        <bgColor indexed="64"/>
      </patternFill>
    </fill>
    <fill>
      <patternFill patternType="lightUp">
        <fgColor auto="1"/>
        <bgColor rgb="FFD8D8D8"/>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
      <patternFill patternType="solid">
        <fgColor rgb="FFC00000"/>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22"/>
      </bottom>
      <diagonal/>
    </border>
    <border>
      <left style="medium">
        <color indexed="64"/>
      </left>
      <right style="thin">
        <color indexed="64"/>
      </right>
      <top style="thin">
        <color indexed="22"/>
      </top>
      <bottom style="thin">
        <color indexed="64"/>
      </bottom>
      <diagonal/>
    </border>
    <border>
      <left style="medium">
        <color indexed="64"/>
      </left>
      <right style="thin">
        <color indexed="64"/>
      </right>
      <top style="thin">
        <color indexed="22"/>
      </top>
      <bottom style="thin">
        <color indexed="22"/>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22"/>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22"/>
      </bottom>
      <diagonal/>
    </border>
    <border>
      <left style="medium">
        <color indexed="64"/>
      </left>
      <right/>
      <top style="thin">
        <color indexed="22"/>
      </top>
      <bottom style="thin">
        <color indexed="22"/>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23"/>
      </bottom>
      <diagonal/>
    </border>
    <border>
      <left style="medium">
        <color indexed="64"/>
      </left>
      <right/>
      <top style="thin">
        <color indexed="23"/>
      </top>
      <bottom style="thin">
        <color indexed="23"/>
      </bottom>
      <diagonal/>
    </border>
    <border>
      <left style="medium">
        <color indexed="64"/>
      </left>
      <right/>
      <top style="thin">
        <color indexed="23"/>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55"/>
      </bottom>
      <diagonal/>
    </border>
    <border>
      <left style="medium">
        <color indexed="64"/>
      </left>
      <right/>
      <top style="thin">
        <color indexed="55"/>
      </top>
      <bottom style="thin">
        <color indexed="55"/>
      </bottom>
      <diagonal/>
    </border>
    <border>
      <left style="medium">
        <color indexed="64"/>
      </left>
      <right/>
      <top style="thin">
        <color indexed="55"/>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55"/>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medium">
        <color indexed="64"/>
      </left>
      <right style="thin">
        <color indexed="64"/>
      </right>
      <top style="thin">
        <color indexed="55"/>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55"/>
      </bottom>
      <diagonal/>
    </border>
    <border>
      <left style="medium">
        <color indexed="64"/>
      </left>
      <right style="thin">
        <color indexed="64"/>
      </right>
      <top style="thin">
        <color indexed="55"/>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style="thin">
        <color indexed="22"/>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55"/>
      </top>
      <bottom style="thin">
        <color indexed="55"/>
      </bottom>
      <diagonal/>
    </border>
    <border>
      <left style="thin">
        <color indexed="64"/>
      </left>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22"/>
      </bottom>
      <diagonal/>
    </border>
    <border>
      <left style="thin">
        <color indexed="64"/>
      </left>
      <right style="medium">
        <color indexed="64"/>
      </right>
      <top style="thin">
        <color indexed="22"/>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top style="thin">
        <color indexed="64"/>
      </top>
      <bottom style="thin">
        <color indexed="22"/>
      </bottom>
      <diagonal/>
    </border>
    <border>
      <left style="thin">
        <color indexed="64"/>
      </left>
      <right style="thin">
        <color indexed="64"/>
      </right>
      <top/>
      <bottom style="thin">
        <color indexed="22"/>
      </bottom>
      <diagonal/>
    </border>
    <border>
      <left style="thin">
        <color indexed="64"/>
      </left>
      <right style="medium">
        <color indexed="64"/>
      </right>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medium">
        <color indexed="64"/>
      </right>
      <top style="thin">
        <color indexed="22"/>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22"/>
      </top>
      <bottom/>
      <diagonal/>
    </border>
    <border>
      <left/>
      <right style="medium">
        <color indexed="64"/>
      </right>
      <top style="thin">
        <color indexed="22"/>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indexed="64"/>
      </right>
      <top style="thin">
        <color theme="0" tint="-0.249977111117893"/>
      </top>
      <bottom/>
      <diagonal/>
    </border>
    <border>
      <left style="thin">
        <color auto="1"/>
      </left>
      <right style="thin">
        <color indexed="64"/>
      </right>
      <top style="thin">
        <color theme="0" tint="-0.249977111117893"/>
      </top>
      <bottom style="thin">
        <color theme="0" tint="-0.249977111117893"/>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medium">
        <color indexed="64"/>
      </left>
      <right style="thin">
        <color indexed="64"/>
      </right>
      <top style="thin">
        <color theme="0" tint="-0.249977111117893"/>
      </top>
      <bottom style="thin">
        <color auto="1"/>
      </bottom>
      <diagonal/>
    </border>
    <border>
      <left style="thin">
        <color auto="1"/>
      </left>
      <right/>
      <top/>
      <bottom style="thin">
        <color auto="1"/>
      </bottom>
      <diagonal/>
    </border>
    <border>
      <left style="thin">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14996795556505021"/>
      </top>
      <bottom/>
      <diagonal/>
    </border>
    <border>
      <left style="thin">
        <color indexed="64"/>
      </left>
      <right style="thin">
        <color indexed="64"/>
      </right>
      <top style="thin">
        <color theme="0" tint="-0.14996795556505021"/>
      </top>
      <bottom style="thin">
        <color theme="0" tint="-0.249977111117893"/>
      </bottom>
      <diagonal/>
    </border>
    <border>
      <left style="thin">
        <color indexed="64"/>
      </left>
      <right style="medium">
        <color indexed="64"/>
      </right>
      <top style="thin">
        <color theme="0" tint="-0.14996795556505021"/>
      </top>
      <bottom style="thin">
        <color theme="0" tint="-0.249977111117893"/>
      </bottom>
      <diagonal/>
    </border>
    <border>
      <left style="medium">
        <color indexed="64"/>
      </left>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24994659260841701"/>
      </top>
      <bottom style="medium">
        <color indexed="64"/>
      </bottom>
      <diagonal/>
    </border>
    <border>
      <left style="medium">
        <color indexed="64"/>
      </left>
      <right/>
      <top style="thin">
        <color theme="0" tint="-0.34998626667073579"/>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style="thin">
        <color theme="0" tint="-0.249977111117893"/>
      </top>
      <bottom style="thin">
        <color theme="0" tint="-0.24994659260841701"/>
      </bottom>
      <diagonal/>
    </border>
    <border>
      <left style="medium">
        <color indexed="64"/>
      </left>
      <right/>
      <top style="thin">
        <color theme="0" tint="-0.24994659260841701"/>
      </top>
      <bottom/>
      <diagonal/>
    </border>
    <border>
      <left/>
      <right style="medium">
        <color indexed="64"/>
      </right>
      <top style="thin">
        <color indexed="55"/>
      </top>
      <bottom style="thin">
        <color indexed="55"/>
      </bottom>
      <diagonal/>
    </border>
    <border>
      <left style="thin">
        <color indexed="64"/>
      </left>
      <right style="thin">
        <color indexed="64"/>
      </right>
      <top/>
      <bottom/>
      <diagonal/>
    </border>
    <border>
      <left style="medium">
        <color indexed="64"/>
      </left>
      <right/>
      <top style="thin">
        <color indexed="64"/>
      </top>
      <bottom style="thin">
        <color indexed="55"/>
      </bottom>
      <diagonal/>
    </border>
    <border>
      <left/>
      <right style="medium">
        <color indexed="64"/>
      </right>
      <top style="thin">
        <color indexed="64"/>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top style="thin">
        <color indexed="55"/>
      </top>
      <bottom style="medium">
        <color indexed="64"/>
      </bottom>
      <diagonal/>
    </border>
    <border>
      <left/>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55"/>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22"/>
      </bottom>
      <diagonal/>
    </border>
    <border>
      <left/>
      <right style="medium">
        <color indexed="64"/>
      </right>
      <top/>
      <bottom style="thin">
        <color indexed="22"/>
      </bottom>
      <diagonal/>
    </border>
  </borders>
  <cellStyleXfs count="26">
    <xf numFmtId="0" fontId="0" fillId="0" borderId="0"/>
    <xf numFmtId="0" fontId="27"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9" fillId="2" borderId="1">
      <alignment horizontal="center" vertical="center"/>
    </xf>
    <xf numFmtId="0" fontId="6" fillId="15" borderId="1" applyNumberFormat="0" applyAlignment="0" applyProtection="0"/>
    <xf numFmtId="0" fontId="30" fillId="0" borderId="1">
      <alignment horizontal="center"/>
    </xf>
    <xf numFmtId="0" fontId="7" fillId="3" borderId="0" applyNumberFormat="0" applyAlignment="0" applyProtection="0"/>
    <xf numFmtId="0" fontId="31" fillId="0" borderId="0" applyNumberFormat="0" applyFill="0" applyBorder="0" applyAlignment="0" applyProtection="0"/>
    <xf numFmtId="0" fontId="30" fillId="0" borderId="1">
      <alignment horizontal="center" vertical="center"/>
    </xf>
    <xf numFmtId="0" fontId="2" fillId="16" borderId="0" applyNumberFormat="0" applyBorder="0" applyProtection="0">
      <alignment horizontal="left" vertical="center"/>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17" borderId="1" applyNumberFormat="0" applyProtection="0">
      <alignment horizontal="center" vertical="center"/>
    </xf>
    <xf numFmtId="0" fontId="6" fillId="17" borderId="1" applyNumberFormat="0" applyProtection="0">
      <alignment horizontal="center" vertical="center"/>
    </xf>
    <xf numFmtId="0" fontId="1" fillId="0" borderId="0"/>
    <xf numFmtId="0" fontId="35" fillId="0" borderId="0"/>
    <xf numFmtId="0" fontId="35" fillId="0" borderId="0"/>
    <xf numFmtId="0" fontId="1" fillId="0" borderId="0"/>
    <xf numFmtId="0" fontId="35" fillId="0" borderId="0"/>
    <xf numFmtId="0" fontId="36" fillId="11" borderId="1" applyNumberFormat="0" applyProtection="0">
      <alignment horizontal="center" vertical="center"/>
    </xf>
    <xf numFmtId="0" fontId="37" fillId="18" borderId="0"/>
    <xf numFmtId="0" fontId="38" fillId="0" borderId="0"/>
    <xf numFmtId="0" fontId="38" fillId="0" borderId="2">
      <alignment horizontal="center" vertical="center" wrapText="1"/>
    </xf>
    <xf numFmtId="43" fontId="27" fillId="0" borderId="0" applyFont="0" applyFill="0" applyBorder="0" applyAlignment="0" applyProtection="0"/>
    <xf numFmtId="9" fontId="27" fillId="0" borderId="0" applyFont="0" applyFill="0" applyBorder="0" applyAlignment="0" applyProtection="0"/>
  </cellStyleXfs>
  <cellXfs count="1106">
    <xf numFmtId="0" fontId="0" fillId="0" borderId="0" xfId="0"/>
    <xf numFmtId="0" fontId="3" fillId="0" borderId="0" xfId="17" applyFont="1"/>
    <xf numFmtId="0" fontId="3" fillId="0" borderId="7" xfId="0" applyFont="1" applyBorder="1"/>
    <xf numFmtId="0" fontId="3" fillId="0" borderId="8" xfId="0" applyFont="1" applyBorder="1"/>
    <xf numFmtId="0" fontId="3" fillId="0" borderId="0" xfId="17" applyFont="1" applyBorder="1"/>
    <xf numFmtId="0" fontId="3" fillId="0" borderId="0" xfId="0" applyFont="1"/>
    <xf numFmtId="0" fontId="4" fillId="0" borderId="0" xfId="0" applyFont="1"/>
    <xf numFmtId="0" fontId="3" fillId="0" borderId="0" xfId="0" applyFont="1" applyBorder="1"/>
    <xf numFmtId="0" fontId="3" fillId="0" borderId="0" xfId="0" applyFont="1" applyFill="1" applyBorder="1"/>
    <xf numFmtId="0" fontId="9" fillId="0" borderId="7" xfId="0" applyFont="1" applyBorder="1" applyAlignment="1">
      <alignment wrapText="1"/>
    </xf>
    <xf numFmtId="0" fontId="4" fillId="0" borderId="7" xfId="0" applyFont="1" applyBorder="1"/>
    <xf numFmtId="0" fontId="3" fillId="0" borderId="0" xfId="0" quotePrefix="1" applyFont="1"/>
    <xf numFmtId="0" fontId="9" fillId="0" borderId="0" xfId="0" applyFont="1" applyBorder="1" applyAlignment="1">
      <alignment wrapText="1"/>
    </xf>
    <xf numFmtId="0" fontId="4" fillId="0" borderId="12" xfId="23" applyFont="1" applyBorder="1">
      <alignment horizontal="center" vertical="center" wrapText="1"/>
    </xf>
    <xf numFmtId="0" fontId="3" fillId="0" borderId="12" xfId="19" applyFont="1" applyBorder="1"/>
    <xf numFmtId="0" fontId="3" fillId="0" borderId="0" xfId="0" applyFont="1" applyAlignment="1">
      <alignment wrapText="1"/>
    </xf>
    <xf numFmtId="0" fontId="3" fillId="7" borderId="0" xfId="0" applyFont="1" applyFill="1"/>
    <xf numFmtId="0" fontId="3" fillId="6" borderId="0" xfId="0" applyFont="1" applyFill="1"/>
    <xf numFmtId="0" fontId="4" fillId="6" borderId="0" xfId="0" applyFont="1" applyFill="1"/>
    <xf numFmtId="0" fontId="3" fillId="5" borderId="1" xfId="0" applyFont="1" applyFill="1" applyBorder="1" applyProtection="1">
      <protection locked="0"/>
    </xf>
    <xf numFmtId="0" fontId="9" fillId="0" borderId="0" xfId="0" applyFont="1" applyBorder="1" applyAlignment="1">
      <alignment vertical="center"/>
    </xf>
    <xf numFmtId="0" fontId="3" fillId="0" borderId="0" xfId="19" applyFont="1" applyBorder="1" applyAlignment="1">
      <alignment vertical="center" wrapText="1"/>
    </xf>
    <xf numFmtId="0" fontId="3" fillId="0" borderId="0" xfId="0" applyFont="1" applyAlignment="1">
      <alignment vertical="center"/>
    </xf>
    <xf numFmtId="0" fontId="3" fillId="0" borderId="17" xfId="0" applyFont="1" applyBorder="1" applyAlignment="1">
      <alignment vertical="center"/>
    </xf>
    <xf numFmtId="0" fontId="9" fillId="0" borderId="17" xfId="0" applyFont="1" applyBorder="1" applyAlignment="1">
      <alignment vertical="center"/>
    </xf>
    <xf numFmtId="0" fontId="3" fillId="0" borderId="19" xfId="0" applyFont="1" applyBorder="1" applyAlignment="1">
      <alignment vertical="center"/>
    </xf>
    <xf numFmtId="0" fontId="9" fillId="0" borderId="18" xfId="0" applyFont="1" applyBorder="1" applyAlignment="1">
      <alignment vertical="center"/>
    </xf>
    <xf numFmtId="0" fontId="9" fillId="0" borderId="7" xfId="0" applyFont="1" applyBorder="1" applyAlignment="1">
      <alignment vertical="center"/>
    </xf>
    <xf numFmtId="0" fontId="9" fillId="0" borderId="21" xfId="0" applyFont="1" applyBorder="1" applyAlignment="1">
      <alignment horizontal="left" vertical="center"/>
    </xf>
    <xf numFmtId="0" fontId="9" fillId="0" borderId="19" xfId="0" applyFont="1" applyBorder="1" applyAlignment="1">
      <alignment vertical="center"/>
    </xf>
    <xf numFmtId="0" fontId="9" fillId="0" borderId="22"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6" borderId="0" xfId="0" applyFont="1" applyFill="1" applyAlignment="1">
      <alignmen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4" fillId="0" borderId="1" xfId="19" applyFont="1" applyBorder="1" applyAlignment="1">
      <alignment horizontal="center"/>
    </xf>
    <xf numFmtId="0" fontId="10" fillId="7" borderId="0" xfId="10" applyFont="1" applyFill="1" applyBorder="1">
      <alignment horizontal="left" vertical="center"/>
    </xf>
    <xf numFmtId="0" fontId="3" fillId="7" borderId="0" xfId="0" applyFont="1" applyFill="1" applyBorder="1" applyAlignment="1">
      <alignment horizontal="center"/>
    </xf>
    <xf numFmtId="0" fontId="4" fillId="0" borderId="14" xfId="19" applyFont="1" applyBorder="1" applyAlignment="1">
      <alignment horizontal="center"/>
    </xf>
    <xf numFmtId="0" fontId="3" fillId="0" borderId="0" xfId="0" applyFont="1" applyBorder="1" applyAlignment="1">
      <alignment vertical="center"/>
    </xf>
    <xf numFmtId="0" fontId="3" fillId="6" borderId="0" xfId="0" applyFont="1" applyFill="1" applyAlignment="1">
      <alignment vertical="center"/>
    </xf>
    <xf numFmtId="0" fontId="3" fillId="0" borderId="0" xfId="17" applyFont="1" applyAlignment="1">
      <alignment horizontal="left" vertical="center"/>
    </xf>
    <xf numFmtId="0" fontId="4" fillId="0" borderId="0" xfId="0" applyFont="1" applyAlignment="1">
      <alignment vertical="top"/>
    </xf>
    <xf numFmtId="0" fontId="17" fillId="0" borderId="0" xfId="19" applyFont="1" applyBorder="1"/>
    <xf numFmtId="0" fontId="3" fillId="0" borderId="29" xfId="0" applyFont="1" applyBorder="1"/>
    <xf numFmtId="0" fontId="3" fillId="0" borderId="30" xfId="0" applyFont="1" applyBorder="1"/>
    <xf numFmtId="0" fontId="9" fillId="0" borderId="31" xfId="0" applyFont="1" applyBorder="1" applyAlignment="1">
      <alignment wrapText="1"/>
    </xf>
    <xf numFmtId="0" fontId="19" fillId="0" borderId="31"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3" fillId="0" borderId="35" xfId="0" applyFont="1" applyBorder="1"/>
    <xf numFmtId="0" fontId="3" fillId="0" borderId="36" xfId="0" applyFont="1" applyBorder="1"/>
    <xf numFmtId="0" fontId="9" fillId="0" borderId="37" xfId="0" applyFont="1" applyBorder="1" applyAlignment="1">
      <alignment wrapText="1"/>
    </xf>
    <xf numFmtId="0" fontId="3" fillId="7" borderId="0" xfId="0" applyFont="1" applyFill="1" applyAlignment="1">
      <alignment vertical="center"/>
    </xf>
    <xf numFmtId="0" fontId="3" fillId="0" borderId="35" xfId="0" applyFont="1" applyBorder="1" applyAlignment="1">
      <alignment wrapText="1"/>
    </xf>
    <xf numFmtId="0" fontId="3" fillId="0" borderId="36" xfId="0" applyFont="1" applyBorder="1" applyAlignment="1">
      <alignment wrapText="1"/>
    </xf>
    <xf numFmtId="0" fontId="3" fillId="0" borderId="0" xfId="17" applyFont="1" applyBorder="1" applyAlignment="1">
      <alignment wrapText="1"/>
    </xf>
    <xf numFmtId="0" fontId="4" fillId="0" borderId="39" xfId="0" applyFont="1" applyBorder="1" applyAlignment="1">
      <alignment horizontal="center"/>
    </xf>
    <xf numFmtId="0" fontId="4" fillId="0" borderId="1" xfId="0" applyFont="1" applyBorder="1" applyAlignment="1">
      <alignment horizontal="center"/>
    </xf>
    <xf numFmtId="0" fontId="3" fillId="0" borderId="7" xfId="0" applyFont="1" applyBorder="1" applyAlignment="1">
      <alignment vertical="center"/>
    </xf>
    <xf numFmtId="0" fontId="3" fillId="0" borderId="8"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left" vertical="center" indent="2"/>
    </xf>
    <xf numFmtId="0" fontId="3" fillId="8" borderId="7" xfId="0" applyFont="1" applyFill="1" applyBorder="1" applyAlignment="1">
      <alignment vertical="center"/>
    </xf>
    <xf numFmtId="0" fontId="3" fillId="8" borderId="0" xfId="0" applyFont="1" applyFill="1" applyBorder="1" applyAlignment="1">
      <alignment horizontal="right" vertical="center"/>
    </xf>
    <xf numFmtId="0" fontId="3" fillId="8" borderId="0" xfId="0" applyFont="1" applyFill="1" applyBorder="1" applyAlignment="1">
      <alignment vertical="center"/>
    </xf>
    <xf numFmtId="0" fontId="13" fillId="8" borderId="0" xfId="0" applyFont="1" applyFill="1" applyBorder="1"/>
    <xf numFmtId="0" fontId="14" fillId="0" borderId="7" xfId="0" applyFont="1" applyBorder="1"/>
    <xf numFmtId="0" fontId="12" fillId="0" borderId="7" xfId="0" applyFont="1" applyBorder="1" applyAlignment="1"/>
    <xf numFmtId="0" fontId="3" fillId="0" borderId="0" xfId="0" applyFont="1" applyBorder="1" applyAlignment="1"/>
    <xf numFmtId="0" fontId="11" fillId="0" borderId="0" xfId="0" applyFont="1" applyBorder="1" applyAlignment="1">
      <alignment horizontal="centerContinuous" wrapText="1"/>
    </xf>
    <xf numFmtId="0" fontId="3" fillId="7" borderId="0" xfId="0" applyFont="1" applyFill="1" applyBorder="1" applyAlignment="1" applyProtection="1">
      <alignment horizontal="center" vertical="center"/>
    </xf>
    <xf numFmtId="0" fontId="3" fillId="0" borderId="0" xfId="0" applyFont="1" applyBorder="1" applyAlignment="1" applyProtection="1">
      <alignment vertical="center"/>
    </xf>
    <xf numFmtId="0" fontId="3" fillId="7" borderId="0" xfId="0" applyFont="1" applyFill="1" applyBorder="1" applyProtection="1"/>
    <xf numFmtId="0" fontId="3" fillId="0" borderId="43" xfId="17" applyNumberFormat="1" applyFont="1" applyBorder="1"/>
    <xf numFmtId="0" fontId="3" fillId="0" borderId="44" xfId="17" applyNumberFormat="1" applyFont="1" applyBorder="1"/>
    <xf numFmtId="0" fontId="3" fillId="0" borderId="42" xfId="0" applyFont="1" applyBorder="1"/>
    <xf numFmtId="0" fontId="3" fillId="0" borderId="43" xfId="0" applyFont="1" applyBorder="1"/>
    <xf numFmtId="0" fontId="9" fillId="0" borderId="43" xfId="0" applyFont="1" applyBorder="1" applyAlignment="1">
      <alignment wrapText="1"/>
    </xf>
    <xf numFmtId="0" fontId="3" fillId="0" borderId="44" xfId="0" applyFont="1" applyBorder="1"/>
    <xf numFmtId="0" fontId="9" fillId="0" borderId="45" xfId="0" applyFont="1" applyBorder="1" applyAlignment="1">
      <alignment wrapText="1"/>
    </xf>
    <xf numFmtId="0" fontId="3" fillId="0" borderId="45" xfId="0" applyFont="1" applyBorder="1"/>
    <xf numFmtId="0" fontId="3" fillId="5" borderId="28" xfId="0" applyFont="1" applyFill="1" applyBorder="1" applyProtection="1">
      <protection locked="0"/>
    </xf>
    <xf numFmtId="0" fontId="3" fillId="0" borderId="0" xfId="0" applyFont="1" applyFill="1" applyBorder="1" applyProtection="1"/>
    <xf numFmtId="0" fontId="3" fillId="0" borderId="46" xfId="0" applyFont="1" applyBorder="1"/>
    <xf numFmtId="0" fontId="3" fillId="7" borderId="47" xfId="0" applyFont="1" applyFill="1" applyBorder="1" applyProtection="1"/>
    <xf numFmtId="0" fontId="4" fillId="0" borderId="16" xfId="0" applyFont="1" applyFill="1" applyBorder="1"/>
    <xf numFmtId="0" fontId="4" fillId="0" borderId="0" xfId="0" applyFont="1" applyBorder="1" applyAlignment="1">
      <alignment horizontal="center"/>
    </xf>
    <xf numFmtId="0" fontId="3" fillId="5" borderId="50" xfId="0" applyFont="1" applyFill="1" applyBorder="1" applyProtection="1">
      <protection locked="0"/>
    </xf>
    <xf numFmtId="0" fontId="3" fillId="0" borderId="43" xfId="0" applyFont="1" applyBorder="1" applyAlignment="1">
      <alignment wrapText="1"/>
    </xf>
    <xf numFmtId="0" fontId="3" fillId="0" borderId="43" xfId="0" quotePrefix="1" applyFont="1" applyBorder="1"/>
    <xf numFmtId="0" fontId="4" fillId="0" borderId="51" xfId="0" applyFont="1" applyBorder="1" applyAlignment="1">
      <alignment horizontal="center"/>
    </xf>
    <xf numFmtId="0" fontId="3" fillId="0" borderId="20" xfId="0" applyFont="1" applyBorder="1" applyAlignment="1"/>
    <xf numFmtId="0" fontId="3" fillId="0" borderId="52" xfId="0" applyFont="1" applyBorder="1" applyAlignment="1"/>
    <xf numFmtId="0" fontId="3" fillId="0" borderId="39" xfId="0" applyFont="1" applyBorder="1" applyAlignment="1"/>
    <xf numFmtId="0" fontId="6" fillId="0" borderId="36" xfId="17" applyNumberFormat="1" applyFont="1" applyBorder="1" applyAlignment="1">
      <alignment horizontal="center" wrapText="1"/>
    </xf>
    <xf numFmtId="164" fontId="6" fillId="0" borderId="36" xfId="17" applyNumberFormat="1" applyFont="1" applyBorder="1" applyAlignment="1">
      <alignment horizontal="center" wrapText="1"/>
    </xf>
    <xf numFmtId="0" fontId="3" fillId="0" borderId="0" xfId="17" applyFont="1" applyBorder="1" applyAlignment="1">
      <alignment vertical="center"/>
    </xf>
    <xf numFmtId="0" fontId="6" fillId="0" borderId="45" xfId="17" applyNumberFormat="1" applyFont="1" applyBorder="1" applyAlignment="1">
      <alignment horizontal="center" wrapText="1"/>
    </xf>
    <xf numFmtId="0" fontId="3" fillId="5" borderId="50" xfId="0" applyFont="1" applyFill="1" applyBorder="1" applyAlignment="1" applyProtection="1">
      <alignment horizontal="left" vertical="center" wrapText="1"/>
      <protection locked="0"/>
    </xf>
    <xf numFmtId="0" fontId="9" fillId="0" borderId="0" xfId="19" applyFont="1" applyAlignment="1">
      <alignment vertical="center"/>
    </xf>
    <xf numFmtId="0" fontId="9" fillId="6" borderId="0" xfId="19" applyFont="1" applyFill="1" applyAlignment="1">
      <alignment vertical="center"/>
    </xf>
    <xf numFmtId="0" fontId="9" fillId="0" borderId="0" xfId="19" applyFont="1" applyFill="1" applyAlignment="1">
      <alignment vertical="center"/>
    </xf>
    <xf numFmtId="0" fontId="3" fillId="0" borderId="59" xfId="0" applyFont="1" applyBorder="1" applyAlignment="1">
      <alignment vertical="center"/>
    </xf>
    <xf numFmtId="0" fontId="9" fillId="0" borderId="59" xfId="0" applyFont="1" applyBorder="1" applyAlignment="1">
      <alignment vertical="center"/>
    </xf>
    <xf numFmtId="0" fontId="9" fillId="7" borderId="59" xfId="0" applyFont="1" applyFill="1" applyBorder="1" applyAlignment="1">
      <alignment vertical="center" wrapText="1"/>
    </xf>
    <xf numFmtId="0" fontId="9" fillId="0" borderId="59" xfId="0" applyFont="1" applyBorder="1" applyAlignment="1">
      <alignment vertical="center" wrapText="1"/>
    </xf>
    <xf numFmtId="0" fontId="9" fillId="0" borderId="60" xfId="0" applyFont="1" applyBorder="1" applyAlignment="1">
      <alignment vertical="center" wrapText="1"/>
    </xf>
    <xf numFmtId="0" fontId="3" fillId="0" borderId="19" xfId="0" applyFont="1" applyBorder="1" applyAlignment="1">
      <alignment vertical="center" wrapText="1"/>
    </xf>
    <xf numFmtId="0" fontId="3" fillId="0" borderId="0" xfId="0" applyFont="1" applyFill="1"/>
    <xf numFmtId="0" fontId="4" fillId="0" borderId="0" xfId="0" applyFont="1" applyFill="1"/>
    <xf numFmtId="0" fontId="3" fillId="0" borderId="0" xfId="17" applyNumberFormat="1" applyFont="1" applyBorder="1"/>
    <xf numFmtId="0" fontId="3" fillId="0" borderId="44" xfId="17" applyFont="1" applyBorder="1"/>
    <xf numFmtId="0" fontId="19" fillId="5" borderId="61" xfId="14" applyFont="1" applyFill="1" applyBorder="1" applyAlignment="1" applyProtection="1">
      <alignment horizontal="left" vertical="center"/>
      <protection locked="0"/>
    </xf>
    <xf numFmtId="0" fontId="9" fillId="5" borderId="14" xfId="14" applyFont="1" applyFill="1" applyBorder="1" applyAlignment="1" applyProtection="1">
      <alignment horizontal="left" vertical="center"/>
      <protection locked="0"/>
    </xf>
    <xf numFmtId="14" fontId="5" fillId="9" borderId="1" xfId="14" applyNumberFormat="1" applyFont="1" applyFill="1" applyBorder="1" applyProtection="1">
      <alignment horizontal="center" vertical="center"/>
    </xf>
    <xf numFmtId="14" fontId="5" fillId="9" borderId="14" xfId="14" applyNumberFormat="1" applyFont="1" applyFill="1" applyBorder="1" applyAlignment="1" applyProtection="1">
      <alignment horizontal="left" vertical="center"/>
    </xf>
    <xf numFmtId="14" fontId="5" fillId="9" borderId="57" xfId="14" applyNumberFormat="1" applyFont="1" applyFill="1" applyBorder="1" applyProtection="1">
      <alignment horizontal="center" vertical="center"/>
    </xf>
    <xf numFmtId="14" fontId="5" fillId="9" borderId="15" xfId="14" applyNumberFormat="1" applyFont="1" applyFill="1" applyBorder="1" applyAlignment="1" applyProtection="1">
      <alignment horizontal="left" vertical="center"/>
    </xf>
    <xf numFmtId="0" fontId="3" fillId="0" borderId="0" xfId="17" applyFont="1" applyAlignment="1">
      <alignment wrapText="1"/>
    </xf>
    <xf numFmtId="0" fontId="3" fillId="0" borderId="0" xfId="17" applyFont="1" applyAlignment="1"/>
    <xf numFmtId="0" fontId="3" fillId="6" borderId="0" xfId="0" applyFont="1" applyFill="1" applyAlignment="1">
      <alignment wrapText="1"/>
    </xf>
    <xf numFmtId="0" fontId="22" fillId="0" borderId="0" xfId="0" applyFont="1" applyFill="1" applyAlignment="1">
      <alignment vertical="center"/>
    </xf>
    <xf numFmtId="0" fontId="3" fillId="0" borderId="0" xfId="17" applyFont="1" applyFill="1"/>
    <xf numFmtId="0" fontId="3" fillId="6" borderId="0" xfId="17" applyFont="1" applyFill="1"/>
    <xf numFmtId="0" fontId="3" fillId="0" borderId="7" xfId="0" applyFont="1" applyFill="1" applyBorder="1"/>
    <xf numFmtId="2" fontId="24" fillId="0" borderId="0" xfId="15" applyNumberFormat="1" applyFont="1" applyAlignment="1">
      <alignment horizontal="center"/>
    </xf>
    <xf numFmtId="2" fontId="24" fillId="0" borderId="0" xfId="15" applyNumberFormat="1" applyFont="1"/>
    <xf numFmtId="2" fontId="24" fillId="0" borderId="0" xfId="15" applyNumberFormat="1" applyFont="1" applyAlignment="1">
      <alignment horizontal="right"/>
    </xf>
    <xf numFmtId="0" fontId="24" fillId="0" borderId="0" xfId="15" applyFont="1"/>
    <xf numFmtId="0" fontId="3" fillId="0" borderId="11" xfId="0" applyFont="1" applyFill="1" applyBorder="1"/>
    <xf numFmtId="0" fontId="24" fillId="0" borderId="0" xfId="15" applyFont="1" applyAlignment="1">
      <alignment horizontal="center"/>
    </xf>
    <xf numFmtId="0" fontId="24" fillId="0" borderId="0" xfId="15" applyFont="1" applyBorder="1"/>
    <xf numFmtId="0" fontId="5" fillId="0" borderId="0" xfId="0" applyFont="1"/>
    <xf numFmtId="0" fontId="24" fillId="0" borderId="0" xfId="15" applyFont="1" applyFill="1" applyBorder="1"/>
    <xf numFmtId="0" fontId="24" fillId="0" borderId="0" xfId="15" applyFont="1" applyFill="1" applyAlignment="1">
      <alignment horizontal="center"/>
    </xf>
    <xf numFmtId="0" fontId="24" fillId="0" borderId="0" xfId="15" applyFont="1" applyFill="1"/>
    <xf numFmtId="2" fontId="24" fillId="0" borderId="0" xfId="15" applyNumberFormat="1" applyFont="1" applyFill="1" applyAlignment="1">
      <alignment horizontal="right"/>
    </xf>
    <xf numFmtId="0" fontId="3" fillId="7" borderId="0" xfId="0" applyFont="1" applyFill="1" applyBorder="1"/>
    <xf numFmtId="2" fontId="24" fillId="0" borderId="0" xfId="15" applyNumberFormat="1" applyFont="1" applyFill="1"/>
    <xf numFmtId="0" fontId="4" fillId="0" borderId="0" xfId="0" applyFont="1" applyAlignment="1">
      <alignment wrapText="1"/>
    </xf>
    <xf numFmtId="0" fontId="3" fillId="0" borderId="0" xfId="0" applyFont="1" applyFill="1" applyAlignment="1">
      <alignment wrapText="1"/>
    </xf>
    <xf numFmtId="0" fontId="3" fillId="6" borderId="0" xfId="0" applyFont="1" applyFill="1" applyBorder="1"/>
    <xf numFmtId="0" fontId="3" fillId="0" borderId="0" xfId="0" applyFont="1" applyFill="1" applyBorder="1" applyAlignment="1">
      <alignment wrapText="1"/>
    </xf>
    <xf numFmtId="0" fontId="3" fillId="0" borderId="0" xfId="17" applyFont="1" applyFill="1" applyAlignment="1">
      <alignment wrapText="1"/>
    </xf>
    <xf numFmtId="0" fontId="3" fillId="6" borderId="0" xfId="17" applyFont="1" applyFill="1" applyAlignment="1">
      <alignment wrapText="1"/>
    </xf>
    <xf numFmtId="0" fontId="4" fillId="0" borderId="0" xfId="0" applyFont="1" applyFill="1" applyAlignment="1">
      <alignment wrapText="1"/>
    </xf>
    <xf numFmtId="0" fontId="4" fillId="6" borderId="0" xfId="0" applyFont="1" applyFill="1" applyAlignment="1">
      <alignment wrapText="1"/>
    </xf>
    <xf numFmtId="2" fontId="24" fillId="0" borderId="0" xfId="15" applyNumberFormat="1" applyFont="1" applyAlignment="1">
      <alignment horizontal="center" wrapText="1"/>
    </xf>
    <xf numFmtId="0" fontId="24" fillId="0" borderId="0" xfId="15" applyFont="1" applyFill="1" applyAlignment="1">
      <alignment horizontal="center" wrapText="1"/>
    </xf>
    <xf numFmtId="2" fontId="24" fillId="0" borderId="0" xfId="15" applyNumberFormat="1" applyFont="1" applyAlignment="1">
      <alignment wrapText="1"/>
    </xf>
    <xf numFmtId="0" fontId="24" fillId="0" borderId="0" xfId="15" applyFont="1" applyFill="1" applyAlignment="1">
      <alignment wrapText="1"/>
    </xf>
    <xf numFmtId="2" fontId="24" fillId="0" borderId="0" xfId="15" applyNumberFormat="1" applyFont="1" applyAlignment="1">
      <alignment horizontal="right" wrapText="1"/>
    </xf>
    <xf numFmtId="2" fontId="24" fillId="0" borderId="0" xfId="15" applyNumberFormat="1" applyFont="1" applyFill="1" applyAlignment="1">
      <alignment horizontal="right" wrapText="1"/>
    </xf>
    <xf numFmtId="0" fontId="24" fillId="0" borderId="0" xfId="15" applyFont="1" applyAlignment="1">
      <alignment wrapText="1"/>
    </xf>
    <xf numFmtId="0" fontId="3" fillId="7" borderId="0" xfId="0" applyFont="1" applyFill="1" applyAlignment="1">
      <alignment wrapText="1"/>
    </xf>
    <xf numFmtId="0" fontId="3" fillId="0" borderId="0" xfId="17" applyFont="1" applyFill="1" applyAlignment="1"/>
    <xf numFmtId="0" fontId="3" fillId="6" borderId="0" xfId="17" applyFont="1" applyFill="1" applyAlignment="1"/>
    <xf numFmtId="0" fontId="3" fillId="0" borderId="0" xfId="0" applyFont="1" applyAlignment="1"/>
    <xf numFmtId="0" fontId="3" fillId="0" borderId="0" xfId="0" applyFont="1" applyFill="1" applyAlignment="1"/>
    <xf numFmtId="0" fontId="3" fillId="6" borderId="0" xfId="0" applyFont="1" applyFill="1" applyAlignment="1"/>
    <xf numFmtId="0" fontId="3" fillId="0" borderId="0" xfId="0" applyFont="1" applyProtection="1"/>
    <xf numFmtId="2" fontId="24" fillId="0" borderId="0" xfId="15" applyNumberFormat="1" applyFont="1" applyAlignment="1"/>
    <xf numFmtId="0" fontId="24" fillId="0" borderId="0" xfId="15" applyFont="1" applyFill="1" applyAlignment="1"/>
    <xf numFmtId="0" fontId="22" fillId="6" borderId="0" xfId="0" applyFont="1" applyFill="1" applyAlignment="1">
      <alignment vertical="center"/>
    </xf>
    <xf numFmtId="0" fontId="11" fillId="7" borderId="0" xfId="0" applyFont="1" applyFill="1" applyAlignment="1">
      <alignment wrapText="1"/>
    </xf>
    <xf numFmtId="0" fontId="15" fillId="7" borderId="0" xfId="0" applyFont="1" applyFill="1" applyAlignment="1">
      <alignment wrapText="1"/>
    </xf>
    <xf numFmtId="0" fontId="15" fillId="0" borderId="0" xfId="0" applyFont="1" applyAlignment="1">
      <alignment wrapText="1"/>
    </xf>
    <xf numFmtId="0" fontId="18" fillId="7" borderId="0" xfId="10" applyFont="1" applyFill="1" applyBorder="1" applyAlignment="1">
      <alignment horizontal="left" vertical="center" wrapText="1"/>
    </xf>
    <xf numFmtId="0" fontId="15" fillId="6" borderId="0" xfId="0" applyFont="1" applyFill="1" applyAlignment="1">
      <alignment wrapText="1"/>
    </xf>
    <xf numFmtId="0" fontId="15" fillId="7" borderId="0" xfId="0" applyFont="1" applyFill="1" applyAlignment="1"/>
    <xf numFmtId="0" fontId="15" fillId="6" borderId="0" xfId="0" applyFont="1" applyFill="1" applyAlignment="1"/>
    <xf numFmtId="0" fontId="15" fillId="0" borderId="0" xfId="0" applyFont="1" applyAlignment="1"/>
    <xf numFmtId="0" fontId="15" fillId="0" borderId="0" xfId="0" applyFont="1" applyAlignment="1">
      <alignment vertical="center" wrapText="1"/>
    </xf>
    <xf numFmtId="0" fontId="15" fillId="7" borderId="0" xfId="0" applyFont="1" applyFill="1" applyAlignment="1">
      <alignment vertical="center" wrapText="1"/>
    </xf>
    <xf numFmtId="0" fontId="15" fillId="6" borderId="0" xfId="0" applyFont="1" applyFill="1" applyAlignment="1">
      <alignment vertical="center" wrapText="1"/>
    </xf>
    <xf numFmtId="0" fontId="25" fillId="0" borderId="0" xfId="0" applyFont="1" applyAlignment="1">
      <alignment vertical="center"/>
    </xf>
    <xf numFmtId="0" fontId="3" fillId="0" borderId="0" xfId="0" applyFont="1" applyFill="1" applyBorder="1" applyAlignment="1">
      <alignment vertical="center"/>
    </xf>
    <xf numFmtId="0" fontId="25" fillId="0" borderId="0" xfId="0" applyFont="1" applyBorder="1" applyAlignment="1">
      <alignment vertical="center"/>
    </xf>
    <xf numFmtId="0" fontId="3" fillId="0" borderId="0" xfId="0" applyFont="1" applyBorder="1" applyAlignment="1">
      <alignment vertical="center" wrapText="1"/>
    </xf>
    <xf numFmtId="164" fontId="3" fillId="0" borderId="0" xfId="0" applyNumberFormat="1" applyFont="1" applyFill="1" applyBorder="1" applyAlignment="1">
      <alignment vertical="center"/>
    </xf>
    <xf numFmtId="164" fontId="4" fillId="0" borderId="0" xfId="0" applyNumberFormat="1" applyFont="1" applyFill="1" applyBorder="1" applyAlignment="1">
      <alignment vertical="center"/>
    </xf>
    <xf numFmtId="0" fontId="3" fillId="6" borderId="0" xfId="0" applyFont="1" applyFill="1" applyBorder="1" applyAlignment="1">
      <alignment vertical="center"/>
    </xf>
    <xf numFmtId="0" fontId="10" fillId="7" borderId="7" xfId="10" applyFont="1" applyFill="1" applyBorder="1" applyAlignment="1">
      <alignment horizontal="left" vertical="center"/>
    </xf>
    <xf numFmtId="0" fontId="10" fillId="7" borderId="54" xfId="10" applyFont="1" applyFill="1" applyBorder="1" applyAlignment="1">
      <alignment horizontal="left" vertical="center"/>
    </xf>
    <xf numFmtId="0" fontId="21" fillId="7" borderId="7" xfId="10" applyFont="1" applyFill="1" applyBorder="1" applyAlignment="1">
      <alignment horizontal="center" vertical="center"/>
    </xf>
    <xf numFmtId="0" fontId="21" fillId="7" borderId="54" xfId="10" applyFont="1" applyFill="1" applyBorder="1" applyAlignment="1">
      <alignment horizontal="center" vertical="center"/>
    </xf>
    <xf numFmtId="0" fontId="10" fillId="7" borderId="41" xfId="10" applyFont="1" applyFill="1" applyBorder="1" applyAlignment="1">
      <alignment horizontal="left" vertical="center"/>
    </xf>
    <xf numFmtId="0" fontId="10" fillId="7" borderId="63" xfId="10" applyFont="1" applyFill="1" applyBorder="1" applyAlignment="1">
      <alignment horizontal="left" vertical="center"/>
    </xf>
    <xf numFmtId="0" fontId="23" fillId="0" borderId="81" xfId="11" applyFont="1" applyBorder="1" applyAlignment="1" applyProtection="1">
      <alignment vertical="center"/>
      <protection locked="0"/>
    </xf>
    <xf numFmtId="0" fontId="23" fillId="0" borderId="83" xfId="11" applyFont="1" applyBorder="1" applyAlignment="1" applyProtection="1">
      <alignment vertical="center"/>
      <protection locked="0"/>
    </xf>
    <xf numFmtId="0" fontId="23" fillId="0" borderId="82" xfId="11" applyFont="1" applyBorder="1" applyAlignment="1" applyProtection="1">
      <alignment vertical="center"/>
      <protection locked="0"/>
    </xf>
    <xf numFmtId="0" fontId="23" fillId="0" borderId="84" xfId="11" applyFont="1" applyBorder="1" applyAlignment="1" applyProtection="1">
      <alignment vertical="center"/>
      <protection locked="0"/>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23" fillId="0" borderId="87" xfId="11" applyFont="1" applyBorder="1" applyAlignment="1" applyProtection="1">
      <alignment vertical="center"/>
      <protection locked="0"/>
    </xf>
    <xf numFmtId="0" fontId="3" fillId="0" borderId="88" xfId="0" applyFont="1" applyBorder="1" applyAlignment="1">
      <alignment horizontal="center" vertical="center"/>
    </xf>
    <xf numFmtId="0" fontId="3" fillId="0" borderId="83" xfId="0" applyFont="1" applyBorder="1" applyAlignment="1">
      <alignment horizontal="center" vertical="center"/>
    </xf>
    <xf numFmtId="0" fontId="23" fillId="0" borderId="89" xfId="11" applyFont="1" applyBorder="1" applyAlignment="1" applyProtection="1">
      <alignment vertical="center"/>
      <protection locked="0"/>
    </xf>
    <xf numFmtId="0" fontId="3" fillId="0" borderId="0" xfId="0" applyFont="1" applyAlignment="1" applyProtection="1">
      <alignment vertical="center"/>
    </xf>
    <xf numFmtId="0" fontId="3" fillId="7" borderId="14" xfId="0" applyFont="1" applyFill="1" applyBorder="1" applyProtection="1"/>
    <xf numFmtId="0" fontId="3" fillId="7" borderId="16" xfId="0" applyFont="1" applyFill="1" applyBorder="1" applyProtection="1"/>
    <xf numFmtId="14" fontId="5" fillId="9" borderId="28" xfId="14" applyNumberFormat="1" applyFont="1" applyFill="1" applyBorder="1" applyProtection="1">
      <alignment horizontal="center" vertical="center"/>
    </xf>
    <xf numFmtId="0" fontId="3" fillId="6" borderId="0" xfId="17" applyFont="1" applyFill="1" applyBorder="1"/>
    <xf numFmtId="0" fontId="4" fillId="0" borderId="2" xfId="0" applyFont="1" applyBorder="1" applyAlignment="1">
      <alignment horizontal="center" vertical="center"/>
    </xf>
    <xf numFmtId="0" fontId="4" fillId="0" borderId="90" xfId="0" applyFont="1" applyBorder="1" applyAlignment="1">
      <alignment horizontal="center" vertical="center"/>
    </xf>
    <xf numFmtId="3" fontId="3" fillId="5" borderId="28" xfId="0" applyNumberFormat="1" applyFont="1" applyFill="1" applyBorder="1" applyProtection="1">
      <protection locked="0"/>
    </xf>
    <xf numFmtId="0" fontId="30" fillId="0" borderId="13" xfId="19" applyFont="1" applyBorder="1"/>
    <xf numFmtId="0" fontId="3" fillId="0" borderId="49" xfId="0" applyFont="1" applyBorder="1"/>
    <xf numFmtId="0" fontId="15" fillId="8" borderId="0" xfId="0" applyFont="1" applyFill="1" applyBorder="1" applyAlignment="1">
      <alignment horizontal="right" vertical="center"/>
    </xf>
    <xf numFmtId="0" fontId="9" fillId="0" borderId="106" xfId="0" applyFont="1" applyBorder="1" applyAlignment="1">
      <alignment vertical="center"/>
    </xf>
    <xf numFmtId="0" fontId="9" fillId="0" borderId="107" xfId="0" applyFont="1" applyBorder="1" applyAlignment="1">
      <alignment vertical="center" wrapText="1"/>
    </xf>
    <xf numFmtId="0" fontId="30" fillId="0" borderId="0" xfId="0" applyFont="1"/>
    <xf numFmtId="0" fontId="30" fillId="0" borderId="0" xfId="0" applyFont="1" applyAlignment="1"/>
    <xf numFmtId="0" fontId="30" fillId="0" borderId="23" xfId="0" applyFont="1" applyBorder="1" applyAlignment="1"/>
    <xf numFmtId="0" fontId="30" fillId="0" borderId="7" xfId="0" applyFont="1" applyBorder="1" applyAlignment="1"/>
    <xf numFmtId="0" fontId="30" fillId="0" borderId="23" xfId="0" applyFont="1" applyBorder="1"/>
    <xf numFmtId="0" fontId="30" fillId="0" borderId="23" xfId="0" applyFont="1" applyFill="1" applyBorder="1"/>
    <xf numFmtId="0" fontId="30" fillId="0" borderId="24" xfId="0" applyFont="1" applyBorder="1" applyAlignment="1"/>
    <xf numFmtId="0" fontId="30" fillId="0" borderId="32" xfId="0" applyFont="1" applyBorder="1" applyAlignment="1"/>
    <xf numFmtId="0" fontId="30" fillId="0" borderId="24" xfId="0" applyFont="1" applyBorder="1"/>
    <xf numFmtId="0" fontId="30" fillId="0" borderId="7" xfId="0" applyFont="1" applyFill="1" applyBorder="1"/>
    <xf numFmtId="0" fontId="30" fillId="0" borderId="24" xfId="0" applyFont="1" applyFill="1" applyBorder="1"/>
    <xf numFmtId="0" fontId="4" fillId="18" borderId="0" xfId="0" applyFont="1" applyFill="1" applyAlignment="1">
      <alignment vertical="center"/>
    </xf>
    <xf numFmtId="0" fontId="4" fillId="18" borderId="0" xfId="0" applyFont="1" applyFill="1" applyAlignment="1">
      <alignment vertical="top"/>
    </xf>
    <xf numFmtId="0" fontId="30" fillId="0" borderId="0" xfId="0" applyFont="1" applyBorder="1"/>
    <xf numFmtId="0" fontId="30" fillId="0" borderId="33" xfId="0" applyFont="1" applyBorder="1"/>
    <xf numFmtId="0" fontId="30" fillId="0" borderId="32" xfId="0" applyFont="1" applyFill="1" applyBorder="1"/>
    <xf numFmtId="0" fontId="3" fillId="18" borderId="0" xfId="0" applyFont="1" applyFill="1"/>
    <xf numFmtId="14" fontId="3" fillId="0" borderId="0" xfId="17" applyNumberFormat="1" applyFont="1" applyBorder="1" applyAlignment="1">
      <alignment horizontal="left" vertical="center" wrapText="1"/>
    </xf>
    <xf numFmtId="0" fontId="43" fillId="0" borderId="87" xfId="11" applyFont="1" applyBorder="1" applyAlignment="1" applyProtection="1">
      <alignment vertical="center"/>
      <protection locked="0"/>
    </xf>
    <xf numFmtId="14" fontId="3" fillId="0" borderId="0" xfId="17" applyNumberFormat="1" applyFont="1" applyBorder="1" applyAlignment="1">
      <alignment horizontal="left" wrapText="1"/>
    </xf>
    <xf numFmtId="0" fontId="3" fillId="0" borderId="0" xfId="17" applyFont="1" applyBorder="1" applyAlignment="1">
      <alignment horizontal="left" wrapText="1"/>
    </xf>
    <xf numFmtId="0" fontId="30" fillId="0" borderId="0" xfId="17" applyFont="1" applyAlignment="1">
      <alignment vertical="center"/>
    </xf>
    <xf numFmtId="0" fontId="30" fillId="6" borderId="0" xfId="17" applyFont="1" applyFill="1" applyAlignment="1">
      <alignment vertical="center"/>
    </xf>
    <xf numFmtId="0" fontId="30" fillId="0" borderId="0" xfId="17" applyFont="1" applyAlignment="1">
      <alignment vertical="center" wrapText="1"/>
    </xf>
    <xf numFmtId="0" fontId="30" fillId="6" borderId="0" xfId="17" applyFont="1" applyFill="1" applyAlignment="1">
      <alignment vertical="center" wrapText="1"/>
    </xf>
    <xf numFmtId="0" fontId="30" fillId="7" borderId="0" xfId="17" applyFont="1" applyFill="1" applyAlignment="1">
      <alignment vertical="center"/>
    </xf>
    <xf numFmtId="0" fontId="30" fillId="0" borderId="0" xfId="0" applyFont="1" applyAlignment="1">
      <alignment vertical="center"/>
    </xf>
    <xf numFmtId="0" fontId="30" fillId="6" borderId="0" xfId="0" applyFont="1" applyFill="1" applyAlignment="1">
      <alignment vertical="center"/>
    </xf>
    <xf numFmtId="0" fontId="8" fillId="0" borderId="0" xfId="0" applyFont="1" applyAlignment="1">
      <alignment vertical="center"/>
    </xf>
    <xf numFmtId="0" fontId="30" fillId="18" borderId="0" xfId="0" applyFont="1" applyFill="1" applyAlignment="1">
      <alignment vertical="center"/>
    </xf>
    <xf numFmtId="0" fontId="30" fillId="0" borderId="0" xfId="0" applyFont="1" applyFill="1" applyAlignment="1">
      <alignment vertical="center"/>
    </xf>
    <xf numFmtId="0" fontId="44" fillId="8" borderId="0" xfId="0" applyFont="1" applyFill="1" applyAlignment="1">
      <alignment vertical="center"/>
    </xf>
    <xf numFmtId="0" fontId="30" fillId="8" borderId="0" xfId="0" applyFont="1" applyFill="1" applyAlignment="1">
      <alignment vertical="center"/>
    </xf>
    <xf numFmtId="0" fontId="30" fillId="0" borderId="0" xfId="0" applyFont="1" applyFill="1" applyBorder="1" applyAlignment="1">
      <alignment vertical="center"/>
    </xf>
    <xf numFmtId="0" fontId="30" fillId="0" borderId="0" xfId="0" applyFont="1" applyBorder="1" applyAlignment="1">
      <alignment vertical="center"/>
    </xf>
    <xf numFmtId="0" fontId="15" fillId="0" borderId="0" xfId="17" applyFont="1" applyBorder="1" applyAlignment="1">
      <alignment horizontal="left"/>
    </xf>
    <xf numFmtId="0" fontId="15" fillId="0" borderId="0" xfId="17" applyFont="1" applyBorder="1" applyAlignment="1">
      <alignment horizontal="left" wrapText="1"/>
    </xf>
    <xf numFmtId="0" fontId="30" fillId="0" borderId="0" xfId="0" applyFont="1" applyAlignment="1">
      <alignment vertical="center" wrapText="1"/>
    </xf>
    <xf numFmtId="0" fontId="30" fillId="0" borderId="0" xfId="0" applyFont="1" applyAlignment="1">
      <alignment horizontal="center" vertical="center" wrapText="1"/>
    </xf>
    <xf numFmtId="14" fontId="35" fillId="0" borderId="0" xfId="17" applyNumberFormat="1" applyFont="1"/>
    <xf numFmtId="0" fontId="35" fillId="0" borderId="0" xfId="17" applyFont="1"/>
    <xf numFmtId="0" fontId="46" fillId="0" borderId="0" xfId="17" applyFont="1" applyAlignment="1"/>
    <xf numFmtId="0" fontId="35" fillId="0" borderId="0" xfId="17" applyFont="1" applyAlignment="1"/>
    <xf numFmtId="0" fontId="46" fillId="0" borderId="0" xfId="17" applyFont="1"/>
    <xf numFmtId="14" fontId="35" fillId="0" borderId="53" xfId="17" applyNumberFormat="1" applyFont="1" applyBorder="1" applyAlignment="1">
      <alignment horizontal="center" wrapText="1"/>
    </xf>
    <xf numFmtId="0" fontId="46" fillId="0" borderId="0" xfId="17" applyFont="1" applyAlignment="1">
      <alignment horizontal="center"/>
    </xf>
    <xf numFmtId="14" fontId="35" fillId="0" borderId="55" xfId="17" applyNumberFormat="1" applyFont="1" applyBorder="1" applyAlignment="1">
      <alignment horizontal="center" wrapText="1"/>
    </xf>
    <xf numFmtId="0" fontId="35" fillId="0" borderId="0" xfId="17" applyNumberFormat="1" applyFont="1"/>
    <xf numFmtId="0" fontId="3" fillId="19" borderId="1" xfId="0" applyFont="1" applyFill="1" applyBorder="1" applyProtection="1">
      <protection locked="0"/>
    </xf>
    <xf numFmtId="164" fontId="35" fillId="0" borderId="109" xfId="17" applyNumberFormat="1" applyBorder="1" applyAlignment="1">
      <alignment horizontal="center" wrapText="1"/>
    </xf>
    <xf numFmtId="14" fontId="35" fillId="0" borderId="110" xfId="17" applyNumberFormat="1" applyBorder="1" applyAlignment="1">
      <alignment horizontal="center" wrapText="1"/>
    </xf>
    <xf numFmtId="164" fontId="35" fillId="0" borderId="111" xfId="17" applyNumberFormat="1" applyBorder="1" applyAlignment="1">
      <alignment horizontal="center" wrapText="1"/>
    </xf>
    <xf numFmtId="14" fontId="35" fillId="0" borderId="112" xfId="17" applyNumberFormat="1" applyBorder="1" applyAlignment="1">
      <alignment horizontal="center" wrapText="1"/>
    </xf>
    <xf numFmtId="164" fontId="6" fillId="0" borderId="111" xfId="17" applyNumberFormat="1" applyFont="1" applyBorder="1" applyAlignment="1">
      <alignment horizontal="center" wrapText="1"/>
    </xf>
    <xf numFmtId="0" fontId="9" fillId="0" borderId="113" xfId="0" applyFont="1" applyBorder="1" applyAlignment="1">
      <alignment vertical="center"/>
    </xf>
    <xf numFmtId="0" fontId="9" fillId="21" borderId="114" xfId="0" applyFont="1" applyFill="1" applyBorder="1" applyAlignment="1">
      <alignment vertical="center" wrapText="1"/>
    </xf>
    <xf numFmtId="0" fontId="30" fillId="18" borderId="0" xfId="0" applyFont="1" applyFill="1" applyBorder="1" applyAlignment="1">
      <alignment vertical="center"/>
    </xf>
    <xf numFmtId="0" fontId="9" fillId="0" borderId="115" xfId="0" applyFont="1" applyBorder="1" applyAlignment="1">
      <alignment horizontal="left" vertical="center"/>
    </xf>
    <xf numFmtId="0" fontId="32" fillId="0" borderId="116" xfId="11" applyBorder="1" applyAlignment="1" applyProtection="1">
      <alignment vertical="center"/>
      <protection locked="0"/>
    </xf>
    <xf numFmtId="0" fontId="30" fillId="0" borderId="117" xfId="0" applyFont="1" applyFill="1" applyBorder="1" applyAlignment="1">
      <alignment horizontal="center" vertical="center"/>
    </xf>
    <xf numFmtId="0" fontId="30" fillId="0" borderId="118" xfId="0" applyFont="1" applyFill="1" applyBorder="1" applyAlignment="1">
      <alignment horizontal="center" vertical="center"/>
    </xf>
    <xf numFmtId="0" fontId="9" fillId="0" borderId="119" xfId="0" applyFont="1" applyBorder="1" applyAlignment="1">
      <alignment horizontal="left" vertical="center"/>
    </xf>
    <xf numFmtId="0" fontId="32" fillId="0" borderId="120" xfId="11" applyBorder="1" applyAlignment="1" applyProtection="1">
      <alignment vertical="center"/>
      <protection locked="0"/>
    </xf>
    <xf numFmtId="0" fontId="30" fillId="0" borderId="121" xfId="0" applyFont="1" applyFill="1" applyBorder="1" applyAlignment="1">
      <alignment horizontal="center" vertical="center"/>
    </xf>
    <xf numFmtId="0" fontId="30" fillId="0" borderId="122" xfId="0" applyFont="1" applyFill="1" applyBorder="1" applyAlignment="1">
      <alignment horizontal="center" vertical="center"/>
    </xf>
    <xf numFmtId="0" fontId="9" fillId="0" borderId="123" xfId="0" applyFont="1" applyBorder="1" applyAlignment="1">
      <alignment horizontal="left" vertical="center"/>
    </xf>
    <xf numFmtId="0" fontId="43" fillId="0" borderId="124" xfId="11" applyFont="1" applyBorder="1" applyAlignment="1" applyProtection="1">
      <alignment vertical="center"/>
      <protection locked="0"/>
    </xf>
    <xf numFmtId="0" fontId="30" fillId="0" borderId="124" xfId="0" applyFont="1" applyBorder="1" applyAlignment="1">
      <alignment horizontal="center" vertical="center"/>
    </xf>
    <xf numFmtId="0" fontId="30" fillId="0" borderId="125" xfId="0" applyFont="1" applyBorder="1" applyAlignment="1">
      <alignment horizontal="center" vertical="center"/>
    </xf>
    <xf numFmtId="0" fontId="30" fillId="0" borderId="0" xfId="0" applyFont="1" applyProtection="1"/>
    <xf numFmtId="0" fontId="48" fillId="0" borderId="0" xfId="0" applyFont="1" applyFill="1" applyAlignment="1" applyProtection="1">
      <alignment vertical="center"/>
    </xf>
    <xf numFmtId="0" fontId="30" fillId="0" borderId="0" xfId="0" applyFont="1" applyFill="1" applyProtection="1"/>
    <xf numFmtId="0" fontId="30" fillId="18" borderId="0" xfId="0" applyFont="1" applyFill="1" applyProtection="1"/>
    <xf numFmtId="0" fontId="30" fillId="0" borderId="0" xfId="17" applyFont="1" applyProtection="1"/>
    <xf numFmtId="0" fontId="30" fillId="0" borderId="0" xfId="17" applyFont="1" applyFill="1" applyProtection="1"/>
    <xf numFmtId="0" fontId="30" fillId="18" borderId="0" xfId="17" applyFont="1" applyFill="1" applyProtection="1"/>
    <xf numFmtId="0" fontId="10" fillId="16" borderId="5" xfId="10" applyFont="1" applyBorder="1" applyAlignment="1" applyProtection="1">
      <alignment vertical="center"/>
    </xf>
    <xf numFmtId="0" fontId="10" fillId="16" borderId="6" xfId="10" applyFont="1" applyBorder="1" applyAlignment="1" applyProtection="1">
      <alignment vertical="center"/>
    </xf>
    <xf numFmtId="0" fontId="30" fillId="0" borderId="128" xfId="0" applyFont="1" applyBorder="1" applyProtection="1"/>
    <xf numFmtId="0" fontId="30" fillId="0" borderId="129" xfId="0" applyFont="1" applyBorder="1" applyProtection="1"/>
    <xf numFmtId="0" fontId="9" fillId="0" borderId="131" xfId="0" applyFont="1" applyBorder="1" applyAlignment="1" applyProtection="1">
      <alignment wrapText="1"/>
    </xf>
    <xf numFmtId="0" fontId="30" fillId="0" borderId="0" xfId="17" applyFont="1" applyBorder="1" applyProtection="1"/>
    <xf numFmtId="14" fontId="40" fillId="0" borderId="0" xfId="17" applyNumberFormat="1" applyFont="1" applyBorder="1" applyAlignment="1" applyProtection="1">
      <alignment horizontal="left" wrapText="1"/>
    </xf>
    <xf numFmtId="0" fontId="9" fillId="0" borderId="0" xfId="0" applyFont="1" applyBorder="1" applyAlignment="1" applyProtection="1">
      <alignment wrapText="1"/>
    </xf>
    <xf numFmtId="0" fontId="30" fillId="0" borderId="0" xfId="0" applyFont="1" applyFill="1" applyBorder="1" applyProtection="1"/>
    <xf numFmtId="0" fontId="30" fillId="0" borderId="0" xfId="0" applyFont="1" applyBorder="1" applyProtection="1"/>
    <xf numFmtId="0" fontId="30" fillId="18" borderId="0" xfId="0" applyFont="1" applyFill="1" applyBorder="1" applyProtection="1"/>
    <xf numFmtId="0" fontId="30" fillId="0" borderId="0" xfId="0" applyFont="1" applyAlignment="1" applyProtection="1">
      <alignment wrapText="1"/>
    </xf>
    <xf numFmtId="0" fontId="30" fillId="0" borderId="0" xfId="17" applyFont="1" applyAlignment="1" applyProtection="1">
      <alignment wrapText="1"/>
    </xf>
    <xf numFmtId="0" fontId="10" fillId="16" borderId="5" xfId="10" applyFont="1" applyBorder="1" applyAlignment="1" applyProtection="1">
      <alignment vertical="center" wrapText="1"/>
    </xf>
    <xf numFmtId="0" fontId="10" fillId="16" borderId="6" xfId="10" applyFont="1" applyBorder="1" applyAlignment="1" applyProtection="1">
      <alignment vertical="center" wrapText="1"/>
    </xf>
    <xf numFmtId="0" fontId="30" fillId="0" borderId="128" xfId="0" applyFont="1" applyBorder="1" applyAlignment="1" applyProtection="1">
      <alignment horizontal="left" vertical="center" wrapText="1"/>
    </xf>
    <xf numFmtId="0" fontId="30" fillId="0" borderId="129" xfId="0" applyFont="1" applyBorder="1" applyAlignment="1" applyProtection="1">
      <alignment horizontal="left" vertical="center" wrapText="1"/>
    </xf>
    <xf numFmtId="0" fontId="9" fillId="0" borderId="131" xfId="0" applyFont="1" applyBorder="1" applyAlignment="1" applyProtection="1">
      <alignment horizontal="left" vertical="center" wrapText="1"/>
    </xf>
    <xf numFmtId="0" fontId="9" fillId="0" borderId="134" xfId="0" applyFont="1" applyFill="1" applyBorder="1" applyAlignment="1">
      <alignment vertical="center" wrapText="1"/>
    </xf>
    <xf numFmtId="0" fontId="9" fillId="0" borderId="135" xfId="0" applyFont="1" applyFill="1" applyBorder="1" applyAlignment="1">
      <alignment vertical="center" wrapText="1"/>
    </xf>
    <xf numFmtId="0" fontId="30" fillId="0" borderId="23" xfId="0" applyFont="1" applyBorder="1" applyProtection="1"/>
    <xf numFmtId="0" fontId="30" fillId="0" borderId="24" xfId="0" applyFont="1" applyBorder="1" applyProtection="1"/>
    <xf numFmtId="0" fontId="4" fillId="7" borderId="0" xfId="23" applyFont="1" applyFill="1" applyBorder="1">
      <alignment horizontal="center" vertical="center" wrapText="1"/>
    </xf>
    <xf numFmtId="0" fontId="4" fillId="0" borderId="14" xfId="23" applyFont="1" applyBorder="1">
      <alignment horizontal="center" vertical="center" wrapText="1"/>
    </xf>
    <xf numFmtId="0" fontId="3" fillId="0" borderId="43" xfId="17" applyNumberFormat="1" applyFont="1" applyBorder="1" applyAlignment="1">
      <alignment vertical="top"/>
    </xf>
    <xf numFmtId="164" fontId="6" fillId="0" borderId="137" xfId="17" applyNumberFormat="1" applyFont="1" applyBorder="1" applyAlignment="1">
      <alignment horizontal="center" wrapText="1"/>
    </xf>
    <xf numFmtId="164" fontId="35" fillId="0" borderId="136" xfId="17" applyNumberFormat="1" applyBorder="1" applyAlignment="1">
      <alignment horizontal="center" wrapText="1"/>
    </xf>
    <xf numFmtId="0" fontId="30" fillId="18" borderId="0" xfId="0" applyFont="1" applyFill="1" applyAlignment="1">
      <alignment horizontal="center" vertical="center" wrapText="1"/>
    </xf>
    <xf numFmtId="0" fontId="30" fillId="18" borderId="0" xfId="0" applyFont="1" applyFill="1" applyAlignment="1">
      <alignment vertical="center" wrapText="1"/>
    </xf>
    <xf numFmtId="0" fontId="30" fillId="18" borderId="0" xfId="0" applyFont="1" applyFill="1"/>
    <xf numFmtId="0" fontId="30" fillId="18" borderId="0" xfId="0" applyFont="1" applyFill="1" applyAlignment="1"/>
    <xf numFmtId="0" fontId="15" fillId="26" borderId="0" xfId="0" applyFont="1" applyFill="1" applyBorder="1" applyAlignment="1">
      <alignment vertical="center"/>
    </xf>
    <xf numFmtId="0" fontId="35" fillId="18" borderId="0" xfId="17" applyFont="1" applyFill="1"/>
    <xf numFmtId="0" fontId="35" fillId="18" borderId="0" xfId="17" applyFont="1" applyFill="1" applyAlignment="1"/>
    <xf numFmtId="0" fontId="35" fillId="18" borderId="0" xfId="17" applyNumberFormat="1" applyFont="1" applyFill="1"/>
    <xf numFmtId="14" fontId="35" fillId="18" borderId="0" xfId="17" applyNumberFormat="1" applyFont="1" applyFill="1"/>
    <xf numFmtId="0" fontId="47" fillId="0" borderId="41" xfId="17" applyFont="1" applyBorder="1" applyAlignment="1">
      <alignment horizontal="center" vertical="center"/>
    </xf>
    <xf numFmtId="0" fontId="47" fillId="0" borderId="63" xfId="17" applyFont="1" applyBorder="1" applyAlignment="1">
      <alignment horizontal="center" vertical="center"/>
    </xf>
    <xf numFmtId="0" fontId="3" fillId="7" borderId="39" xfId="0" applyFont="1" applyFill="1" applyBorder="1" applyProtection="1"/>
    <xf numFmtId="0" fontId="3" fillId="7" borderId="61" xfId="0" applyFont="1" applyFill="1" applyBorder="1" applyProtection="1"/>
    <xf numFmtId="0" fontId="9" fillId="0" borderId="9" xfId="0" applyFont="1" applyBorder="1" applyAlignment="1">
      <alignment wrapText="1"/>
    </xf>
    <xf numFmtId="0" fontId="3" fillId="0" borderId="10" xfId="0" applyFont="1" applyFill="1" applyBorder="1"/>
    <xf numFmtId="0" fontId="3" fillId="8" borderId="0" xfId="0" applyFont="1" applyFill="1" applyBorder="1" applyAlignment="1" applyProtection="1">
      <alignment vertical="center"/>
    </xf>
    <xf numFmtId="0" fontId="16" fillId="0" borderId="0" xfId="11" applyFont="1" applyAlignment="1" applyProtection="1"/>
    <xf numFmtId="0" fontId="3" fillId="0" borderId="0" xfId="17" applyFont="1" applyAlignment="1" applyProtection="1">
      <alignment wrapText="1"/>
    </xf>
    <xf numFmtId="0" fontId="29" fillId="27" borderId="64" xfId="0" applyFont="1" applyFill="1" applyBorder="1" applyProtection="1"/>
    <xf numFmtId="0" fontId="29" fillId="27" borderId="14" xfId="0" applyFont="1" applyFill="1" applyBorder="1" applyProtection="1"/>
    <xf numFmtId="0" fontId="29" fillId="27" borderId="65" xfId="0" applyFont="1" applyFill="1" applyBorder="1" applyProtection="1"/>
    <xf numFmtId="0" fontId="29" fillId="20" borderId="64" xfId="0" applyFont="1" applyFill="1" applyBorder="1"/>
    <xf numFmtId="0" fontId="29" fillId="20" borderId="14" xfId="0" applyFont="1" applyFill="1" applyBorder="1"/>
    <xf numFmtId="0" fontId="29" fillId="20" borderId="65" xfId="0" applyFont="1" applyFill="1" applyBorder="1"/>
    <xf numFmtId="0" fontId="29" fillId="20" borderId="64" xfId="0" applyFont="1" applyFill="1" applyBorder="1" applyAlignment="1">
      <alignment wrapText="1"/>
    </xf>
    <xf numFmtId="0" fontId="29" fillId="20" borderId="14" xfId="0" applyFont="1" applyFill="1" applyBorder="1" applyAlignment="1">
      <alignment wrapText="1"/>
    </xf>
    <xf numFmtId="0" fontId="29" fillId="20" borderId="65" xfId="0" applyFont="1" applyFill="1" applyBorder="1" applyAlignment="1">
      <alignment wrapText="1"/>
    </xf>
    <xf numFmtId="0" fontId="29" fillId="20" borderId="64" xfId="0" applyFont="1" applyFill="1" applyBorder="1" applyAlignment="1" applyProtection="1">
      <alignment horizontal="left" vertical="center" wrapText="1"/>
    </xf>
    <xf numFmtId="0" fontId="29" fillId="20" borderId="14" xfId="0" applyFont="1" applyFill="1" applyBorder="1" applyAlignment="1" applyProtection="1">
      <alignment horizontal="left" vertical="center" wrapText="1"/>
    </xf>
    <xf numFmtId="0" fontId="29" fillId="20" borderId="65" xfId="0" applyFont="1" applyFill="1" applyBorder="1" applyAlignment="1" applyProtection="1">
      <alignment horizontal="left" vertical="center" wrapText="1"/>
    </xf>
    <xf numFmtId="0" fontId="39" fillId="20" borderId="64" xfId="0" applyFont="1" applyFill="1" applyBorder="1" applyAlignment="1">
      <alignment wrapText="1"/>
    </xf>
    <xf numFmtId="0" fontId="39" fillId="20" borderId="14" xfId="0" applyFont="1" applyFill="1" applyBorder="1" applyAlignment="1">
      <alignment wrapText="1"/>
    </xf>
    <xf numFmtId="0" fontId="39" fillId="20" borderId="65" xfId="0" applyFont="1" applyFill="1" applyBorder="1" applyAlignment="1">
      <alignment wrapText="1"/>
    </xf>
    <xf numFmtId="165" fontId="30" fillId="19" borderId="8" xfId="1" applyNumberFormat="1" applyFont="1" applyFill="1" applyBorder="1" applyAlignment="1" applyProtection="1">
      <alignment horizontal="center" vertical="center"/>
    </xf>
    <xf numFmtId="0" fontId="29" fillId="20" borderId="8" xfId="3" applyFont="1" applyFill="1" applyBorder="1" applyAlignment="1" applyProtection="1">
      <alignment horizontal="center" vertical="center"/>
    </xf>
    <xf numFmtId="0" fontId="9" fillId="0" borderId="8" xfId="19" applyFont="1" applyFill="1" applyBorder="1" applyAlignment="1" applyProtection="1">
      <alignment horizontal="center" vertical="center"/>
    </xf>
    <xf numFmtId="0" fontId="42" fillId="23" borderId="34" xfId="0" applyFont="1" applyFill="1" applyBorder="1" applyAlignment="1" applyProtection="1">
      <alignment horizontal="center" vertical="center"/>
    </xf>
    <xf numFmtId="0" fontId="38" fillId="25" borderId="146" xfId="0" applyFont="1" applyFill="1" applyBorder="1" applyAlignment="1">
      <alignment horizontal="center" vertical="center"/>
    </xf>
    <xf numFmtId="0" fontId="35" fillId="0" borderId="126" xfId="19" applyFont="1" applyBorder="1"/>
    <xf numFmtId="0" fontId="55" fillId="0" borderId="108" xfId="19" applyFont="1" applyBorder="1" applyAlignment="1">
      <alignment horizontal="left"/>
    </xf>
    <xf numFmtId="0" fontId="35" fillId="0" borderId="111" xfId="19" applyFont="1" applyBorder="1"/>
    <xf numFmtId="0" fontId="35" fillId="0" borderId="127" xfId="19" applyNumberFormat="1" applyFont="1" applyBorder="1" applyAlignment="1">
      <alignment horizontal="left"/>
    </xf>
    <xf numFmtId="14" fontId="35" fillId="0" borderId="127" xfId="19" applyNumberFormat="1" applyFont="1" applyBorder="1" applyAlignment="1">
      <alignment horizontal="left"/>
    </xf>
    <xf numFmtId="0" fontId="35" fillId="0" borderId="111" xfId="19" applyNumberFormat="1" applyFont="1" applyBorder="1"/>
    <xf numFmtId="0" fontId="55" fillId="0" borderId="127" xfId="19" applyFont="1" applyBorder="1" applyAlignment="1">
      <alignment horizontal="left"/>
    </xf>
    <xf numFmtId="0" fontId="35" fillId="0" borderId="137" xfId="19" applyFont="1" applyBorder="1" applyAlignment="1">
      <alignment horizontal="left" vertical="center"/>
    </xf>
    <xf numFmtId="0" fontId="35" fillId="0" borderId="149" xfId="19" applyNumberFormat="1" applyFont="1" applyBorder="1" applyAlignment="1">
      <alignment horizontal="left" vertical="center" wrapText="1"/>
    </xf>
    <xf numFmtId="0" fontId="35" fillId="0" borderId="130" xfId="19" applyFont="1" applyBorder="1"/>
    <xf numFmtId="14" fontId="35" fillId="0" borderId="105" xfId="19" applyNumberFormat="1" applyFont="1" applyBorder="1" applyAlignment="1">
      <alignment horizontal="left"/>
    </xf>
    <xf numFmtId="0" fontId="35" fillId="0" borderId="126" xfId="19" applyFont="1" applyBorder="1" applyAlignment="1">
      <alignment vertical="center"/>
    </xf>
    <xf numFmtId="0" fontId="55" fillId="0" borderId="108" xfId="19" applyFont="1" applyBorder="1" applyAlignment="1">
      <alignment horizontal="left" vertical="center" wrapText="1"/>
    </xf>
    <xf numFmtId="0" fontId="35" fillId="0" borderId="111" xfId="19" applyFont="1" applyBorder="1" applyAlignment="1">
      <alignment vertical="center"/>
    </xf>
    <xf numFmtId="0" fontId="35" fillId="0" borderId="127" xfId="19" applyNumberFormat="1" applyFont="1" applyBorder="1" applyAlignment="1">
      <alignment horizontal="left" vertical="center"/>
    </xf>
    <xf numFmtId="14" fontId="35" fillId="0" borderId="127" xfId="19" applyNumberFormat="1" applyFont="1" applyBorder="1" applyAlignment="1">
      <alignment horizontal="left" vertical="center"/>
    </xf>
    <xf numFmtId="0" fontId="35" fillId="0" borderId="111" xfId="19" applyNumberFormat="1" applyFont="1" applyBorder="1" applyAlignment="1">
      <alignment vertical="center"/>
    </xf>
    <xf numFmtId="0" fontId="55" fillId="0" borderId="127" xfId="19" applyFont="1" applyBorder="1" applyAlignment="1">
      <alignment horizontal="left" vertical="center"/>
    </xf>
    <xf numFmtId="0" fontId="35" fillId="0" borderId="130" xfId="19" applyFont="1" applyBorder="1" applyAlignment="1">
      <alignment vertical="center"/>
    </xf>
    <xf numFmtId="14" fontId="35" fillId="0" borderId="105" xfId="19" applyNumberFormat="1" applyFont="1" applyBorder="1" applyAlignment="1">
      <alignment horizontal="left" vertical="center"/>
    </xf>
    <xf numFmtId="0" fontId="35" fillId="0" borderId="0" xfId="19" applyFont="1" applyBorder="1" applyAlignment="1">
      <alignment horizontal="left" vertical="center"/>
    </xf>
    <xf numFmtId="0" fontId="35" fillId="0" borderId="0" xfId="19" applyNumberFormat="1" applyFont="1" applyBorder="1" applyAlignment="1">
      <alignment horizontal="left" vertical="center" wrapText="1"/>
    </xf>
    <xf numFmtId="0" fontId="35" fillId="0" borderId="130" xfId="19" applyFont="1" applyBorder="1" applyAlignment="1">
      <alignment horizontal="left" vertical="center"/>
    </xf>
    <xf numFmtId="0" fontId="35" fillId="0" borderId="105" xfId="19" applyNumberFormat="1" applyFont="1" applyBorder="1" applyAlignment="1">
      <alignment horizontal="left" vertical="center" wrapText="1"/>
    </xf>
    <xf numFmtId="0" fontId="41" fillId="20" borderId="14" xfId="20" quotePrefix="1" applyNumberFormat="1" applyFont="1" applyFill="1" applyBorder="1" applyAlignment="1">
      <alignment horizontal="center"/>
    </xf>
    <xf numFmtId="0" fontId="41" fillId="20" borderId="34" xfId="20" quotePrefix="1" applyNumberFormat="1" applyFont="1" applyFill="1" applyBorder="1" applyAlignment="1">
      <alignment horizontal="center"/>
    </xf>
    <xf numFmtId="0" fontId="3" fillId="0" borderId="0" xfId="0" applyNumberFormat="1" applyFont="1"/>
    <xf numFmtId="0" fontId="3" fillId="0" borderId="7" xfId="0" applyNumberFormat="1" applyFont="1" applyFill="1" applyBorder="1" applyProtection="1"/>
    <xf numFmtId="0" fontId="3" fillId="0" borderId="0" xfId="0" applyNumberFormat="1" applyFont="1" applyProtection="1"/>
    <xf numFmtId="0" fontId="4" fillId="0" borderId="9" xfId="0" applyNumberFormat="1" applyFont="1" applyBorder="1"/>
    <xf numFmtId="0" fontId="3" fillId="0" borderId="11" xfId="0" applyNumberFormat="1" applyFont="1" applyBorder="1"/>
    <xf numFmtId="0" fontId="4" fillId="0" borderId="0" xfId="0" applyNumberFormat="1" applyFont="1" applyBorder="1"/>
    <xf numFmtId="0" fontId="3" fillId="0" borderId="43" xfId="0" applyNumberFormat="1" applyFont="1" applyBorder="1" applyAlignment="1">
      <alignment horizontal="left"/>
    </xf>
    <xf numFmtId="0" fontId="9" fillId="5" borderId="62" xfId="0" applyNumberFormat="1" applyFont="1" applyFill="1" applyBorder="1" applyAlignment="1" applyProtection="1">
      <alignment horizontal="center"/>
      <protection locked="0"/>
    </xf>
    <xf numFmtId="0" fontId="3" fillId="0" borderId="0" xfId="0" applyNumberFormat="1" applyFont="1" applyBorder="1"/>
    <xf numFmtId="0" fontId="29" fillId="20" borderId="14" xfId="2" applyNumberFormat="1" applyFont="1" applyFill="1" applyBorder="1" applyAlignment="1">
      <alignment horizontal="center"/>
    </xf>
    <xf numFmtId="0" fontId="3" fillId="5" borderId="14" xfId="0" applyNumberFormat="1" applyFont="1" applyFill="1" applyBorder="1" applyProtection="1">
      <protection locked="0"/>
    </xf>
    <xf numFmtId="0" fontId="3" fillId="0" borderId="44" xfId="0" applyNumberFormat="1" applyFont="1" applyBorder="1" applyAlignment="1">
      <alignment horizontal="left"/>
    </xf>
    <xf numFmtId="0" fontId="3" fillId="5" borderId="15" xfId="0" applyNumberFormat="1" applyFont="1" applyFill="1" applyBorder="1" applyProtection="1">
      <protection locked="0"/>
    </xf>
    <xf numFmtId="0" fontId="3" fillId="0" borderId="0" xfId="0" applyNumberFormat="1" applyFont="1" applyFill="1" applyBorder="1" applyProtection="1"/>
    <xf numFmtId="0" fontId="4" fillId="0" borderId="33" xfId="0" applyNumberFormat="1" applyFont="1" applyBorder="1"/>
    <xf numFmtId="0" fontId="3" fillId="0" borderId="7" xfId="0" applyNumberFormat="1" applyFont="1" applyBorder="1"/>
    <xf numFmtId="0" fontId="4" fillId="0" borderId="40" xfId="0" applyNumberFormat="1" applyFont="1" applyBorder="1"/>
    <xf numFmtId="0" fontId="3" fillId="0" borderId="23" xfId="0" applyNumberFormat="1" applyFont="1" applyBorder="1"/>
    <xf numFmtId="0" fontId="3" fillId="0" borderId="9" xfId="0" applyNumberFormat="1" applyFont="1" applyBorder="1"/>
    <xf numFmtId="0" fontId="3" fillId="0" borderId="8" xfId="0" applyNumberFormat="1" applyFont="1" applyBorder="1"/>
    <xf numFmtId="0" fontId="4" fillId="0" borderId="7" xfId="0" applyNumberFormat="1" applyFont="1" applyBorder="1"/>
    <xf numFmtId="0" fontId="4" fillId="0" borderId="51" xfId="0" applyNumberFormat="1" applyFont="1" applyBorder="1" applyAlignment="1">
      <alignment horizontal="center"/>
    </xf>
    <xf numFmtId="0" fontId="4" fillId="0" borderId="63" xfId="0" applyNumberFormat="1" applyFont="1" applyBorder="1" applyAlignment="1">
      <alignment horizontal="center"/>
    </xf>
    <xf numFmtId="0" fontId="3" fillId="5" borderId="1" xfId="0" applyNumberFormat="1" applyFont="1" applyFill="1" applyBorder="1" applyProtection="1">
      <protection locked="0"/>
    </xf>
    <xf numFmtId="0" fontId="3" fillId="5" borderId="57" xfId="0" applyNumberFormat="1" applyFont="1" applyFill="1" applyBorder="1" applyProtection="1">
      <protection locked="0"/>
    </xf>
    <xf numFmtId="0" fontId="3" fillId="0" borderId="33" xfId="0" applyNumberFormat="1" applyFont="1" applyBorder="1"/>
    <xf numFmtId="0" fontId="3" fillId="0" borderId="34" xfId="0" applyNumberFormat="1" applyFont="1" applyBorder="1"/>
    <xf numFmtId="0" fontId="3" fillId="0" borderId="0" xfId="0" applyNumberFormat="1" applyFont="1" applyBorder="1" applyAlignment="1">
      <alignment horizontal="left"/>
    </xf>
    <xf numFmtId="0" fontId="3" fillId="0" borderId="7" xfId="0" applyNumberFormat="1" applyFont="1" applyBorder="1" applyAlignment="1">
      <alignment horizontal="left"/>
    </xf>
    <xf numFmtId="0" fontId="4" fillId="0" borderId="1" xfId="0" applyNumberFormat="1" applyFont="1" applyBorder="1" applyAlignment="1">
      <alignment horizontal="center"/>
    </xf>
    <xf numFmtId="0" fontId="4" fillId="0" borderId="14" xfId="0" applyNumberFormat="1" applyFont="1" applyBorder="1" applyAlignment="1">
      <alignment horizontal="center"/>
    </xf>
    <xf numFmtId="0" fontId="3" fillId="0" borderId="43" xfId="0" applyNumberFormat="1" applyFont="1" applyBorder="1" applyAlignment="1">
      <alignment wrapText="1"/>
    </xf>
    <xf numFmtId="0" fontId="3" fillId="0" borderId="44" xfId="0" applyNumberFormat="1" applyFont="1" applyBorder="1" applyAlignment="1">
      <alignment wrapText="1"/>
    </xf>
    <xf numFmtId="0" fontId="25" fillId="0" borderId="7" xfId="0" applyNumberFormat="1" applyFont="1" applyBorder="1"/>
    <xf numFmtId="0" fontId="3" fillId="0" borderId="43" xfId="0" applyNumberFormat="1" applyFont="1" applyBorder="1"/>
    <xf numFmtId="0" fontId="3" fillId="0" borderId="44" xfId="0" applyNumberFormat="1" applyFont="1" applyBorder="1"/>
    <xf numFmtId="0" fontId="3" fillId="0" borderId="32" xfId="0" applyNumberFormat="1" applyFont="1" applyBorder="1"/>
    <xf numFmtId="0" fontId="3" fillId="0" borderId="40" xfId="0" applyNumberFormat="1" applyFont="1" applyBorder="1"/>
    <xf numFmtId="0" fontId="3" fillId="0" borderId="7" xfId="0" applyNumberFormat="1" applyFont="1" applyFill="1" applyBorder="1"/>
    <xf numFmtId="0" fontId="4" fillId="0" borderId="8" xfId="0" applyNumberFormat="1" applyFont="1" applyBorder="1"/>
    <xf numFmtId="0" fontId="3" fillId="7" borderId="0" xfId="0" applyNumberFormat="1" applyFont="1" applyFill="1" applyBorder="1" applyProtection="1"/>
    <xf numFmtId="0" fontId="3" fillId="0" borderId="10" xfId="0" applyNumberFormat="1" applyFont="1" applyBorder="1"/>
    <xf numFmtId="0" fontId="3" fillId="0" borderId="11" xfId="0" applyNumberFormat="1" applyFont="1" applyFill="1" applyBorder="1"/>
    <xf numFmtId="0" fontId="3" fillId="0" borderId="23" xfId="0" applyNumberFormat="1" applyFont="1" applyFill="1" applyBorder="1"/>
    <xf numFmtId="0" fontId="9" fillId="5" borderId="1" xfId="0" applyNumberFormat="1" applyFont="1" applyFill="1" applyBorder="1" applyAlignment="1" applyProtection="1">
      <alignment horizontal="center"/>
      <protection locked="0"/>
    </xf>
    <xf numFmtId="0" fontId="9" fillId="5" borderId="14" xfId="0" applyNumberFormat="1" applyFont="1" applyFill="1" applyBorder="1" applyAlignment="1" applyProtection="1">
      <alignment horizontal="center"/>
      <protection locked="0"/>
    </xf>
    <xf numFmtId="0" fontId="9" fillId="5" borderId="51" xfId="0" applyNumberFormat="1" applyFont="1" applyFill="1" applyBorder="1" applyProtection="1">
      <protection locked="0"/>
    </xf>
    <xf numFmtId="0" fontId="9" fillId="5" borderId="57" xfId="0" applyNumberFormat="1" applyFont="1" applyFill="1" applyBorder="1" applyProtection="1">
      <protection locked="0"/>
    </xf>
    <xf numFmtId="0" fontId="3" fillId="0" borderId="8" xfId="0" applyNumberFormat="1" applyFont="1" applyFill="1" applyBorder="1"/>
    <xf numFmtId="0" fontId="3" fillId="0" borderId="9" xfId="0" applyNumberFormat="1" applyFont="1" applyBorder="1" applyAlignment="1">
      <alignment horizontal="left"/>
    </xf>
    <xf numFmtId="0" fontId="9" fillId="5" borderId="1" xfId="0" applyNumberFormat="1" applyFont="1" applyFill="1" applyBorder="1" applyProtection="1">
      <protection locked="0"/>
    </xf>
    <xf numFmtId="0" fontId="9" fillId="5" borderId="14" xfId="0" applyNumberFormat="1" applyFont="1" applyFill="1" applyBorder="1" applyProtection="1">
      <protection locked="0"/>
    </xf>
    <xf numFmtId="0" fontId="9" fillId="5" borderId="15" xfId="0" applyNumberFormat="1" applyFont="1" applyFill="1" applyBorder="1" applyProtection="1">
      <protection locked="0"/>
    </xf>
    <xf numFmtId="0" fontId="3" fillId="0" borderId="34" xfId="0" applyNumberFormat="1" applyFont="1" applyFill="1" applyBorder="1"/>
    <xf numFmtId="0" fontId="3" fillId="0" borderId="0" xfId="0" applyNumberFormat="1" applyFont="1" applyFill="1" applyBorder="1"/>
    <xf numFmtId="0" fontId="4" fillId="0" borderId="23" xfId="0" applyNumberFormat="1" applyFont="1" applyFill="1" applyBorder="1"/>
    <xf numFmtId="0" fontId="9" fillId="5" borderId="1" xfId="2" applyNumberFormat="1" applyFont="1" applyFill="1" applyBorder="1" applyAlignment="1" applyProtection="1">
      <alignment horizontal="center"/>
      <protection locked="0"/>
    </xf>
    <xf numFmtId="0" fontId="9" fillId="5" borderId="50" xfId="0" applyNumberFormat="1" applyFont="1" applyFill="1" applyBorder="1" applyProtection="1">
      <protection locked="0"/>
    </xf>
    <xf numFmtId="0" fontId="9" fillId="0" borderId="23" xfId="0" applyNumberFormat="1" applyFont="1" applyFill="1" applyBorder="1" applyProtection="1"/>
    <xf numFmtId="0" fontId="3" fillId="0" borderId="23" xfId="0" applyNumberFormat="1" applyFont="1" applyFill="1" applyBorder="1" applyProtection="1"/>
    <xf numFmtId="0" fontId="3" fillId="0" borderId="8" xfId="0" applyNumberFormat="1" applyFont="1" applyFill="1" applyBorder="1" applyProtection="1"/>
    <xf numFmtId="0" fontId="4" fillId="0" borderId="23" xfId="0" applyNumberFormat="1" applyFont="1" applyFill="1" applyBorder="1" applyProtection="1"/>
    <xf numFmtId="0" fontId="3" fillId="0" borderId="0" xfId="0" applyNumberFormat="1" applyFont="1" applyBorder="1" applyAlignment="1">
      <alignment wrapText="1"/>
    </xf>
    <xf numFmtId="0" fontId="4" fillId="0" borderId="23" xfId="0" applyNumberFormat="1" applyFont="1" applyFill="1" applyBorder="1" applyAlignment="1" applyProtection="1">
      <alignment horizontal="center"/>
    </xf>
    <xf numFmtId="0" fontId="4" fillId="0" borderId="8" xfId="0" applyNumberFormat="1" applyFont="1" applyFill="1" applyBorder="1" applyProtection="1"/>
    <xf numFmtId="0" fontId="9" fillId="0" borderId="8" xfId="0" applyNumberFormat="1" applyFont="1" applyFill="1" applyBorder="1" applyAlignment="1" applyProtection="1">
      <alignment horizontal="center"/>
    </xf>
    <xf numFmtId="0" fontId="3" fillId="0" borderId="34" xfId="0" applyNumberFormat="1" applyFont="1" applyFill="1" applyBorder="1" applyProtection="1"/>
    <xf numFmtId="0" fontId="3" fillId="0" borderId="66" xfId="0" applyNumberFormat="1" applyFont="1" applyBorder="1" applyAlignment="1">
      <alignment wrapText="1"/>
    </xf>
    <xf numFmtId="0" fontId="3" fillId="5" borderId="50" xfId="0" applyNumberFormat="1" applyFont="1" applyFill="1" applyBorder="1" applyAlignment="1" applyProtection="1">
      <alignment vertical="center"/>
      <protection locked="0"/>
    </xf>
    <xf numFmtId="0" fontId="25" fillId="0" borderId="0" xfId="0" applyNumberFormat="1" applyFont="1"/>
    <xf numFmtId="0" fontId="3" fillId="0" borderId="0" xfId="17" applyNumberFormat="1" applyFont="1" applyBorder="1" applyAlignment="1">
      <alignment horizontal="left" wrapText="1"/>
    </xf>
    <xf numFmtId="0" fontId="3" fillId="0" borderId="0" xfId="17" applyNumberFormat="1" applyFont="1"/>
    <xf numFmtId="0" fontId="3" fillId="21" borderId="0" xfId="0" applyNumberFormat="1" applyFont="1" applyFill="1" applyBorder="1" applyProtection="1"/>
    <xf numFmtId="0" fontId="3" fillId="0" borderId="48" xfId="0" applyNumberFormat="1" applyFont="1" applyBorder="1" applyAlignment="1">
      <alignment horizontal="left"/>
    </xf>
    <xf numFmtId="0" fontId="3" fillId="5" borderId="50" xfId="0" applyNumberFormat="1" applyFont="1" applyFill="1" applyBorder="1" applyProtection="1">
      <protection locked="0"/>
    </xf>
    <xf numFmtId="0" fontId="3" fillId="0" borderId="10" xfId="0" applyNumberFormat="1" applyFont="1" applyBorder="1" applyProtection="1"/>
    <xf numFmtId="0" fontId="3" fillId="0" borderId="11" xfId="0" applyNumberFormat="1" applyFont="1" applyBorder="1" applyProtection="1"/>
    <xf numFmtId="0" fontId="3" fillId="0" borderId="66" xfId="0" applyNumberFormat="1" applyFont="1" applyBorder="1"/>
    <xf numFmtId="0" fontId="3" fillId="0" borderId="0" xfId="0" applyNumberFormat="1" applyFont="1" applyBorder="1" applyProtection="1"/>
    <xf numFmtId="0" fontId="3" fillId="0" borderId="8" xfId="0" applyNumberFormat="1" applyFont="1" applyBorder="1" applyProtection="1"/>
    <xf numFmtId="0" fontId="4" fillId="0" borderId="4" xfId="0" applyNumberFormat="1" applyFont="1" applyBorder="1" applyAlignment="1">
      <alignment horizontal="center"/>
    </xf>
    <xf numFmtId="0" fontId="4" fillId="0" borderId="0" xfId="0" applyNumberFormat="1" applyFont="1" applyBorder="1" applyAlignment="1" applyProtection="1"/>
    <xf numFmtId="0" fontId="3" fillId="5" borderId="63" xfId="0" applyNumberFormat="1" applyFont="1" applyFill="1" applyBorder="1" applyProtection="1">
      <protection locked="0"/>
    </xf>
    <xf numFmtId="0" fontId="3" fillId="0" borderId="44" xfId="0" applyNumberFormat="1" applyFont="1" applyBorder="1" applyAlignment="1">
      <alignment horizontal="left" wrapText="1"/>
    </xf>
    <xf numFmtId="0" fontId="4" fillId="0" borderId="4" xfId="0" applyNumberFormat="1" applyFont="1" applyBorder="1" applyAlignment="1">
      <alignment horizontal="center" wrapText="1"/>
    </xf>
    <xf numFmtId="0" fontId="4" fillId="0" borderId="8" xfId="0" applyNumberFormat="1" applyFont="1" applyBorder="1" applyAlignment="1" applyProtection="1"/>
    <xf numFmtId="0" fontId="3" fillId="7" borderId="8" xfId="0" applyNumberFormat="1" applyFont="1" applyFill="1" applyBorder="1" applyProtection="1"/>
    <xf numFmtId="0" fontId="4" fillId="7" borderId="0" xfId="0" applyNumberFormat="1" applyFont="1" applyFill="1" applyBorder="1" applyAlignment="1" applyProtection="1"/>
    <xf numFmtId="0" fontId="4" fillId="7" borderId="8" xfId="0" applyNumberFormat="1" applyFont="1" applyFill="1" applyBorder="1" applyAlignment="1" applyProtection="1"/>
    <xf numFmtId="0" fontId="3" fillId="7" borderId="0" xfId="0" applyNumberFormat="1" applyFont="1" applyFill="1" applyBorder="1"/>
    <xf numFmtId="0" fontId="3" fillId="7" borderId="8" xfId="0" applyNumberFormat="1" applyFont="1" applyFill="1" applyBorder="1"/>
    <xf numFmtId="0" fontId="4" fillId="7" borderId="8" xfId="0" applyNumberFormat="1" applyFont="1" applyFill="1" applyBorder="1" applyAlignment="1"/>
    <xf numFmtId="0" fontId="4" fillId="7" borderId="0" xfId="0" applyNumberFormat="1" applyFont="1" applyFill="1" applyBorder="1" applyAlignment="1"/>
    <xf numFmtId="0" fontId="4" fillId="0" borderId="8" xfId="0" applyNumberFormat="1" applyFont="1" applyBorder="1" applyAlignment="1"/>
    <xf numFmtId="0" fontId="5" fillId="0" borderId="0" xfId="0" applyNumberFormat="1" applyFont="1"/>
    <xf numFmtId="0" fontId="4" fillId="0" borderId="0" xfId="0" applyNumberFormat="1" applyFont="1"/>
    <xf numFmtId="0" fontId="3" fillId="6" borderId="0" xfId="0" applyNumberFormat="1" applyFont="1" applyFill="1"/>
    <xf numFmtId="0" fontId="3" fillId="6" borderId="0" xfId="0" applyNumberFormat="1" applyFont="1" applyFill="1" applyBorder="1"/>
    <xf numFmtId="0" fontId="4" fillId="0" borderId="0" xfId="0" applyNumberFormat="1" applyFont="1" applyFill="1" applyBorder="1"/>
    <xf numFmtId="0" fontId="4" fillId="6" borderId="0" xfId="0" applyNumberFormat="1" applyFont="1" applyFill="1"/>
    <xf numFmtId="0" fontId="4" fillId="6" borderId="0" xfId="0" applyNumberFormat="1" applyFont="1" applyFill="1" applyBorder="1"/>
    <xf numFmtId="0" fontId="3" fillId="0" borderId="0" xfId="17" applyNumberFormat="1" applyFont="1" applyBorder="1" applyAlignment="1">
      <alignment wrapText="1"/>
    </xf>
    <xf numFmtId="0" fontId="3" fillId="0" borderId="0" xfId="17" applyNumberFormat="1" applyFont="1" applyAlignment="1">
      <alignment wrapText="1"/>
    </xf>
    <xf numFmtId="0" fontId="9" fillId="0" borderId="0" xfId="0" applyNumberFormat="1" applyFont="1" applyBorder="1" applyAlignment="1">
      <alignment wrapText="1"/>
    </xf>
    <xf numFmtId="0" fontId="3" fillId="0" borderId="0" xfId="0" applyNumberFormat="1" applyFont="1" applyAlignment="1">
      <alignment wrapText="1"/>
    </xf>
    <xf numFmtId="0" fontId="4" fillId="0" borderId="0" xfId="0" applyNumberFormat="1" applyFont="1" applyAlignment="1">
      <alignment wrapText="1"/>
    </xf>
    <xf numFmtId="0" fontId="4" fillId="0" borderId="9" xfId="0" applyNumberFormat="1" applyFont="1" applyBorder="1" applyAlignment="1">
      <alignment wrapText="1"/>
    </xf>
    <xf numFmtId="0" fontId="3" fillId="0" borderId="10" xfId="0" applyNumberFormat="1" applyFont="1" applyBorder="1" applyAlignment="1">
      <alignment wrapText="1"/>
    </xf>
    <xf numFmtId="0" fontId="3" fillId="0" borderId="11" xfId="0" applyNumberFormat="1" applyFont="1" applyFill="1" applyBorder="1" applyAlignment="1">
      <alignment wrapText="1"/>
    </xf>
    <xf numFmtId="0" fontId="4" fillId="0" borderId="7" xfId="0" applyNumberFormat="1" applyFont="1" applyBorder="1" applyAlignment="1">
      <alignment wrapText="1"/>
    </xf>
    <xf numFmtId="0" fontId="3" fillId="0" borderId="23" xfId="0" applyNumberFormat="1" applyFont="1" applyFill="1" applyBorder="1" applyAlignment="1">
      <alignment wrapText="1"/>
    </xf>
    <xf numFmtId="0" fontId="3" fillId="0" borderId="7" xfId="0" applyNumberFormat="1" applyFont="1" applyBorder="1" applyAlignment="1">
      <alignment wrapText="1"/>
    </xf>
    <xf numFmtId="0" fontId="3" fillId="0" borderId="9" xfId="0" applyNumberFormat="1" applyFont="1" applyBorder="1" applyAlignment="1">
      <alignment wrapText="1"/>
    </xf>
    <xf numFmtId="0" fontId="9" fillId="5" borderId="1" xfId="0" applyNumberFormat="1" applyFont="1" applyFill="1" applyBorder="1" applyAlignment="1" applyProtection="1">
      <alignment wrapText="1"/>
      <protection locked="0"/>
    </xf>
    <xf numFmtId="0" fontId="9" fillId="5" borderId="14" xfId="0" applyNumberFormat="1" applyFont="1" applyFill="1" applyBorder="1" applyAlignment="1" applyProtection="1">
      <alignment wrapText="1"/>
      <protection locked="0"/>
    </xf>
    <xf numFmtId="0" fontId="3" fillId="0" borderId="8" xfId="0" applyNumberFormat="1" applyFont="1" applyBorder="1" applyAlignment="1">
      <alignment wrapText="1"/>
    </xf>
    <xf numFmtId="0" fontId="9" fillId="5" borderId="57" xfId="0" applyNumberFormat="1" applyFont="1" applyFill="1" applyBorder="1" applyAlignment="1" applyProtection="1">
      <alignment wrapText="1"/>
      <protection locked="0"/>
    </xf>
    <xf numFmtId="0" fontId="3" fillId="0" borderId="33" xfId="0" applyNumberFormat="1" applyFont="1" applyBorder="1" applyAlignment="1">
      <alignment wrapText="1"/>
    </xf>
    <xf numFmtId="0" fontId="3" fillId="0" borderId="34" xfId="0" applyNumberFormat="1" applyFont="1" applyBorder="1" applyAlignment="1">
      <alignment wrapText="1"/>
    </xf>
    <xf numFmtId="0" fontId="3" fillId="0" borderId="0" xfId="0" applyNumberFormat="1" applyFont="1" applyBorder="1" applyAlignment="1">
      <alignment horizontal="left" wrapText="1"/>
    </xf>
    <xf numFmtId="0" fontId="3" fillId="0" borderId="8" xfId="0" applyNumberFormat="1" applyFont="1" applyFill="1" applyBorder="1" applyAlignment="1">
      <alignment wrapText="1"/>
    </xf>
    <xf numFmtId="0" fontId="3" fillId="0" borderId="9" xfId="0" applyNumberFormat="1" applyFont="1" applyBorder="1" applyAlignment="1">
      <alignment horizontal="left" wrapText="1"/>
    </xf>
    <xf numFmtId="0" fontId="3" fillId="0" borderId="7" xfId="0" applyNumberFormat="1" applyFont="1" applyBorder="1" applyAlignment="1">
      <alignment horizontal="left" wrapText="1"/>
    </xf>
    <xf numFmtId="0" fontId="9" fillId="5" borderId="15" xfId="0" applyNumberFormat="1" applyFont="1" applyFill="1" applyBorder="1" applyAlignment="1" applyProtection="1">
      <alignment wrapText="1"/>
      <protection locked="0"/>
    </xf>
    <xf numFmtId="0" fontId="25" fillId="0" borderId="7" xfId="0" applyNumberFormat="1" applyFont="1" applyBorder="1" applyAlignment="1">
      <alignment wrapText="1"/>
    </xf>
    <xf numFmtId="0" fontId="3" fillId="0" borderId="32" xfId="0" applyNumberFormat="1" applyFont="1" applyBorder="1" applyAlignment="1">
      <alignment wrapText="1"/>
    </xf>
    <xf numFmtId="0" fontId="3" fillId="0" borderId="34" xfId="0" applyNumberFormat="1" applyFont="1" applyFill="1" applyBorder="1" applyAlignment="1">
      <alignment wrapText="1"/>
    </xf>
    <xf numFmtId="0" fontId="9" fillId="0" borderId="33" xfId="0" applyNumberFormat="1" applyFont="1" applyFill="1" applyBorder="1"/>
    <xf numFmtId="0" fontId="9" fillId="5" borderId="50" xfId="0" applyNumberFormat="1" applyFont="1" applyFill="1" applyBorder="1" applyAlignment="1" applyProtection="1">
      <alignment wrapText="1"/>
      <protection locked="0"/>
    </xf>
    <xf numFmtId="0" fontId="3" fillId="0" borderId="0" xfId="0" applyNumberFormat="1" applyFont="1" applyAlignment="1"/>
    <xf numFmtId="0" fontId="3" fillId="0" borderId="66" xfId="0" applyNumberFormat="1" applyFont="1" applyBorder="1" applyAlignment="1"/>
    <xf numFmtId="0" fontId="3" fillId="5" borderId="50" xfId="0" applyNumberFormat="1" applyFont="1" applyFill="1" applyBorder="1" applyAlignment="1" applyProtection="1">
      <protection locked="0"/>
    </xf>
    <xf numFmtId="0" fontId="5" fillId="5" borderId="50" xfId="2" applyNumberFormat="1" applyFont="1" applyFill="1" applyBorder="1" applyAlignment="1" applyProtection="1">
      <alignment horizontal="center"/>
      <protection locked="0"/>
    </xf>
    <xf numFmtId="0" fontId="5" fillId="5" borderId="1" xfId="2" applyNumberFormat="1" applyFont="1" applyFill="1" applyBorder="1" applyAlignment="1" applyProtection="1">
      <alignment horizontal="center"/>
      <protection locked="0"/>
    </xf>
    <xf numFmtId="0" fontId="5" fillId="5" borderId="14" xfId="2" applyNumberFormat="1" applyFont="1" applyFill="1" applyBorder="1" applyAlignment="1" applyProtection="1">
      <alignment horizontal="center"/>
      <protection locked="0"/>
    </xf>
    <xf numFmtId="0" fontId="5" fillId="5" borderId="57" xfId="2" applyNumberFormat="1" applyFont="1" applyFill="1" applyBorder="1" applyAlignment="1" applyProtection="1">
      <alignment horizontal="center"/>
      <protection locked="0"/>
    </xf>
    <xf numFmtId="0" fontId="5" fillId="5" borderId="15" xfId="2" applyNumberFormat="1" applyFont="1" applyFill="1" applyBorder="1" applyAlignment="1" applyProtection="1">
      <alignment horizontal="center"/>
      <protection locked="0"/>
    </xf>
    <xf numFmtId="0" fontId="11" fillId="0" borderId="9" xfId="0" quotePrefix="1" applyNumberFormat="1" applyFont="1" applyBorder="1"/>
    <xf numFmtId="0" fontId="3" fillId="0" borderId="36" xfId="0" applyNumberFormat="1" applyFont="1" applyBorder="1" applyAlignment="1">
      <alignment horizontal="left"/>
    </xf>
    <xf numFmtId="0" fontId="3" fillId="0" borderId="33" xfId="0" applyNumberFormat="1" applyFont="1" applyFill="1" applyBorder="1"/>
    <xf numFmtId="0" fontId="3" fillId="0" borderId="7" xfId="0" applyNumberFormat="1" applyFont="1" applyBorder="1" applyAlignment="1"/>
    <xf numFmtId="0" fontId="3" fillId="0" borderId="44" xfId="0" applyNumberFormat="1" applyFont="1" applyBorder="1" applyAlignment="1"/>
    <xf numFmtId="0" fontId="3" fillId="5" borderId="57" xfId="0" applyNumberFormat="1" applyFont="1" applyFill="1" applyBorder="1" applyAlignment="1" applyProtection="1">
      <protection locked="0"/>
    </xf>
    <xf numFmtId="0" fontId="3" fillId="0" borderId="33" xfId="0" applyNumberFormat="1" applyFont="1" applyBorder="1" applyAlignment="1"/>
    <xf numFmtId="0" fontId="3" fillId="0" borderId="34" xfId="0" applyNumberFormat="1" applyFont="1" applyBorder="1" applyAlignment="1"/>
    <xf numFmtId="0" fontId="3" fillId="0" borderId="8" xfId="0" applyNumberFormat="1" applyFont="1" applyFill="1" applyBorder="1" applyAlignment="1"/>
    <xf numFmtId="0" fontId="3" fillId="0" borderId="43" xfId="0" applyNumberFormat="1" applyFont="1" applyBorder="1" applyAlignment="1"/>
    <xf numFmtId="0" fontId="11" fillId="0" borderId="9" xfId="0" quotePrefix="1" applyNumberFormat="1" applyFont="1" applyFill="1" applyBorder="1" applyAlignment="1">
      <alignment horizontal="left"/>
    </xf>
    <xf numFmtId="0" fontId="11" fillId="0" borderId="10" xfId="0" quotePrefix="1" applyNumberFormat="1" applyFont="1" applyFill="1" applyBorder="1" applyAlignment="1">
      <alignment horizontal="left"/>
    </xf>
    <xf numFmtId="0" fontId="11" fillId="0" borderId="11" xfId="0" quotePrefix="1" applyNumberFormat="1" applyFont="1" applyFill="1" applyBorder="1" applyAlignment="1">
      <alignment horizontal="left"/>
    </xf>
    <xf numFmtId="0" fontId="11" fillId="0" borderId="7" xfId="0" quotePrefix="1" applyNumberFormat="1" applyFont="1" applyFill="1" applyBorder="1" applyAlignment="1">
      <alignment horizontal="left"/>
    </xf>
    <xf numFmtId="0" fontId="11" fillId="0" borderId="0" xfId="0" quotePrefix="1" applyNumberFormat="1" applyFont="1" applyFill="1" applyBorder="1" applyAlignment="1">
      <alignment horizontal="left"/>
    </xf>
    <xf numFmtId="0" fontId="11" fillId="0" borderId="8" xfId="0" quotePrefix="1" applyNumberFormat="1" applyFont="1" applyFill="1" applyBorder="1" applyAlignment="1">
      <alignment horizontal="left"/>
    </xf>
    <xf numFmtId="0" fontId="30" fillId="0" borderId="0" xfId="0" applyNumberFormat="1" applyFont="1" applyProtection="1"/>
    <xf numFmtId="0" fontId="50" fillId="25" borderId="5" xfId="0" quotePrefix="1" applyNumberFormat="1" applyFont="1" applyFill="1" applyBorder="1" applyProtection="1"/>
    <xf numFmtId="0" fontId="30" fillId="25" borderId="6" xfId="0" applyNumberFormat="1" applyFont="1" applyFill="1" applyBorder="1" applyProtection="1"/>
    <xf numFmtId="0" fontId="30" fillId="0" borderId="7" xfId="0" applyNumberFormat="1" applyFont="1" applyFill="1" applyBorder="1" applyProtection="1"/>
    <xf numFmtId="0" fontId="30" fillId="0" borderId="0" xfId="0" applyNumberFormat="1" applyFont="1" applyFill="1" applyProtection="1"/>
    <xf numFmtId="0" fontId="30" fillId="18" borderId="0" xfId="0" applyNumberFormat="1" applyFont="1" applyFill="1" applyProtection="1"/>
    <xf numFmtId="0" fontId="38" fillId="0" borderId="0" xfId="0" applyNumberFormat="1" applyFont="1" applyBorder="1" applyProtection="1"/>
    <xf numFmtId="0" fontId="30" fillId="0" borderId="2" xfId="0" applyNumberFormat="1" applyFont="1" applyBorder="1" applyAlignment="1" applyProtection="1">
      <alignment horizontal="left"/>
    </xf>
    <xf numFmtId="0" fontId="9" fillId="19" borderId="61" xfId="0" applyNumberFormat="1" applyFont="1" applyFill="1" applyBorder="1" applyAlignment="1" applyProtection="1">
      <alignment horizontal="center"/>
      <protection locked="0"/>
    </xf>
    <xf numFmtId="0" fontId="30" fillId="0" borderId="7" xfId="0" applyNumberFormat="1" applyFont="1" applyBorder="1" applyProtection="1"/>
    <xf numFmtId="0" fontId="9" fillId="0" borderId="0" xfId="0" applyNumberFormat="1" applyFont="1" applyBorder="1" applyAlignment="1" applyProtection="1">
      <alignment wrapText="1"/>
    </xf>
    <xf numFmtId="0" fontId="30" fillId="0" borderId="0" xfId="0" applyNumberFormat="1" applyFont="1" applyBorder="1" applyProtection="1"/>
    <xf numFmtId="0" fontId="30" fillId="21" borderId="0" xfId="0" applyNumberFormat="1" applyFont="1" applyFill="1" applyBorder="1" applyProtection="1"/>
    <xf numFmtId="0" fontId="30" fillId="18" borderId="0" xfId="0" applyNumberFormat="1" applyFont="1" applyFill="1" applyBorder="1" applyProtection="1"/>
    <xf numFmtId="0" fontId="50" fillId="25" borderId="5" xfId="0" applyNumberFormat="1" applyFont="1" applyFill="1" applyBorder="1" applyAlignment="1" applyProtection="1"/>
    <xf numFmtId="0" fontId="38" fillId="25" borderId="40" xfId="0" applyNumberFormat="1" applyFont="1" applyFill="1" applyBorder="1" applyAlignment="1" applyProtection="1"/>
    <xf numFmtId="0" fontId="38" fillId="25" borderId="6" xfId="0" applyNumberFormat="1" applyFont="1" applyFill="1" applyBorder="1" applyAlignment="1" applyProtection="1"/>
    <xf numFmtId="0" fontId="30" fillId="0" borderId="8" xfId="0" applyNumberFormat="1" applyFont="1" applyBorder="1" applyProtection="1"/>
    <xf numFmtId="0" fontId="50" fillId="25" borderId="2" xfId="0" quotePrefix="1" applyNumberFormat="1" applyFont="1" applyFill="1" applyBorder="1" applyProtection="1"/>
    <xf numFmtId="0" fontId="38" fillId="0" borderId="7" xfId="0" applyNumberFormat="1" applyFont="1" applyBorder="1" applyProtection="1"/>
    <xf numFmtId="0" fontId="30" fillId="0" borderId="9" xfId="0" applyNumberFormat="1" applyFont="1" applyBorder="1" applyProtection="1"/>
    <xf numFmtId="0" fontId="30" fillId="0" borderId="10" xfId="0" applyNumberFormat="1" applyFont="1" applyBorder="1" applyProtection="1"/>
    <xf numFmtId="0" fontId="30" fillId="0" borderId="11" xfId="0" applyNumberFormat="1" applyFont="1" applyBorder="1" applyProtection="1"/>
    <xf numFmtId="0" fontId="30" fillId="0" borderId="130" xfId="0" applyNumberFormat="1" applyFont="1" applyBorder="1" applyAlignment="1" applyProtection="1">
      <alignment horizontal="left"/>
    </xf>
    <xf numFmtId="0" fontId="38" fillId="0" borderId="33" xfId="0" applyNumberFormat="1" applyFont="1" applyBorder="1" applyProtection="1"/>
    <xf numFmtId="0" fontId="38" fillId="25" borderId="2" xfId="0" applyNumberFormat="1" applyFont="1" applyFill="1" applyBorder="1" applyProtection="1"/>
    <xf numFmtId="0" fontId="38" fillId="0" borderId="104" xfId="0" applyNumberFormat="1" applyFont="1" applyBorder="1" applyAlignment="1" applyProtection="1">
      <alignment horizontal="center"/>
    </xf>
    <xf numFmtId="0" fontId="38" fillId="0" borderId="51" xfId="0" applyNumberFormat="1" applyFont="1" applyBorder="1" applyAlignment="1" applyProtection="1">
      <alignment horizontal="center"/>
    </xf>
    <xf numFmtId="0" fontId="38" fillId="0" borderId="14" xfId="0" applyNumberFormat="1" applyFont="1" applyBorder="1" applyAlignment="1" applyProtection="1">
      <alignment horizontal="center"/>
    </xf>
    <xf numFmtId="0" fontId="30" fillId="0" borderId="111" xfId="0" applyNumberFormat="1" applyFont="1" applyBorder="1" applyAlignment="1" applyProtection="1">
      <alignment horizontal="left"/>
    </xf>
    <xf numFmtId="0" fontId="29" fillId="20" borderId="12" xfId="0" applyNumberFormat="1" applyFont="1" applyFill="1" applyBorder="1" applyProtection="1"/>
    <xf numFmtId="0" fontId="29" fillId="20" borderId="1" xfId="0" applyNumberFormat="1" applyFont="1" applyFill="1" applyBorder="1" applyProtection="1"/>
    <xf numFmtId="0" fontId="29" fillId="20" borderId="14" xfId="0" applyNumberFormat="1" applyFont="1" applyFill="1" applyBorder="1" applyProtection="1"/>
    <xf numFmtId="0" fontId="30" fillId="19" borderId="12" xfId="0" applyNumberFormat="1" applyFont="1" applyFill="1" applyBorder="1" applyProtection="1">
      <protection locked="0"/>
    </xf>
    <xf numFmtId="0" fontId="30" fillId="19" borderId="1" xfId="0" applyNumberFormat="1" applyFont="1" applyFill="1" applyBorder="1" applyProtection="1">
      <protection locked="0"/>
    </xf>
    <xf numFmtId="0" fontId="30" fillId="19" borderId="14" xfId="0" applyNumberFormat="1" applyFont="1" applyFill="1" applyBorder="1" applyProtection="1">
      <protection locked="0"/>
    </xf>
    <xf numFmtId="0" fontId="30" fillId="0" borderId="111" xfId="0" applyNumberFormat="1" applyFont="1" applyFill="1" applyBorder="1" applyAlignment="1" applyProtection="1">
      <alignment horizontal="left"/>
    </xf>
    <xf numFmtId="0" fontId="30" fillId="0" borderId="130" xfId="0" applyNumberFormat="1" applyFont="1" applyFill="1" applyBorder="1" applyAlignment="1" applyProtection="1">
      <alignment horizontal="left"/>
    </xf>
    <xf numFmtId="0" fontId="30" fillId="19" borderId="13" xfId="0" applyNumberFormat="1" applyFont="1" applyFill="1" applyBorder="1" applyProtection="1">
      <protection locked="0"/>
    </xf>
    <xf numFmtId="0" fontId="30" fillId="0" borderId="33" xfId="0" applyNumberFormat="1" applyFont="1" applyBorder="1" applyProtection="1"/>
    <xf numFmtId="0" fontId="30" fillId="0" borderId="34" xfId="0" applyNumberFormat="1" applyFont="1" applyBorder="1" applyProtection="1"/>
    <xf numFmtId="0" fontId="30" fillId="0" borderId="0" xfId="0" applyNumberFormat="1" applyFont="1" applyBorder="1" applyAlignment="1" applyProtection="1">
      <alignment horizontal="left"/>
    </xf>
    <xf numFmtId="0" fontId="30" fillId="0" borderId="7" xfId="0" applyNumberFormat="1" applyFont="1" applyBorder="1" applyAlignment="1" applyProtection="1">
      <alignment horizontal="left"/>
    </xf>
    <xf numFmtId="0" fontId="29" fillId="20" borderId="13" xfId="0" applyNumberFormat="1" applyFont="1" applyFill="1" applyBorder="1" applyProtection="1"/>
    <xf numFmtId="0" fontId="29" fillId="20" borderId="57" xfId="0" applyNumberFormat="1" applyFont="1" applyFill="1" applyBorder="1" applyProtection="1"/>
    <xf numFmtId="0" fontId="29" fillId="20" borderId="15" xfId="0" applyNumberFormat="1" applyFont="1" applyFill="1" applyBorder="1" applyProtection="1"/>
    <xf numFmtId="0" fontId="30" fillId="19" borderId="57" xfId="0" applyNumberFormat="1" applyFont="1" applyFill="1" applyBorder="1" applyProtection="1">
      <protection locked="0"/>
    </xf>
    <xf numFmtId="0" fontId="30" fillId="19" borderId="15" xfId="0" applyNumberFormat="1" applyFont="1" applyFill="1" applyBorder="1" applyProtection="1">
      <protection locked="0"/>
    </xf>
    <xf numFmtId="0" fontId="38" fillId="0" borderId="12" xfId="0" applyNumberFormat="1" applyFont="1" applyBorder="1" applyAlignment="1" applyProtection="1">
      <alignment horizontal="center"/>
    </xf>
    <xf numFmtId="0" fontId="38" fillId="0" borderId="1" xfId="0" applyNumberFormat="1" applyFont="1" applyBorder="1" applyAlignment="1" applyProtection="1">
      <alignment horizontal="center"/>
    </xf>
    <xf numFmtId="0" fontId="30" fillId="0" borderId="111" xfId="0" applyNumberFormat="1" applyFont="1" applyBorder="1" applyAlignment="1" applyProtection="1">
      <alignment wrapText="1"/>
    </xf>
    <xf numFmtId="0" fontId="30" fillId="0" borderId="130" xfId="0" applyNumberFormat="1" applyFont="1" applyBorder="1" applyAlignment="1" applyProtection="1">
      <alignment wrapText="1"/>
    </xf>
    <xf numFmtId="0" fontId="52" fillId="0" borderId="7" xfId="0" applyNumberFormat="1" applyFont="1" applyBorder="1" applyProtection="1"/>
    <xf numFmtId="0" fontId="30" fillId="0" borderId="111" xfId="0" applyNumberFormat="1" applyFont="1" applyBorder="1" applyProtection="1"/>
    <xf numFmtId="0" fontId="30" fillId="0" borderId="111" xfId="0" applyNumberFormat="1" applyFont="1" applyFill="1" applyBorder="1" applyProtection="1"/>
    <xf numFmtId="0" fontId="30" fillId="0" borderId="130" xfId="0" applyNumberFormat="1" applyFont="1" applyBorder="1" applyProtection="1"/>
    <xf numFmtId="0" fontId="38" fillId="25" borderId="5" xfId="0" applyNumberFormat="1" applyFont="1" applyFill="1" applyBorder="1" applyProtection="1"/>
    <xf numFmtId="0" fontId="30" fillId="0" borderId="32" xfId="0" applyNumberFormat="1" applyFont="1" applyBorder="1" applyProtection="1"/>
    <xf numFmtId="0" fontId="38" fillId="25" borderId="5" xfId="0" quotePrefix="1" applyNumberFormat="1" applyFont="1" applyFill="1" applyBorder="1" applyProtection="1"/>
    <xf numFmtId="0" fontId="30" fillId="0" borderId="132" xfId="0" applyNumberFormat="1" applyFont="1" applyBorder="1" applyAlignment="1" applyProtection="1">
      <alignment horizontal="left"/>
    </xf>
    <xf numFmtId="0" fontId="30" fillId="0" borderId="0" xfId="0" applyNumberFormat="1" applyFont="1" applyAlignment="1" applyProtection="1">
      <alignment wrapText="1"/>
    </xf>
    <xf numFmtId="0" fontId="38" fillId="25" borderId="40" xfId="0" applyNumberFormat="1" applyFont="1" applyFill="1" applyBorder="1" applyProtection="1"/>
    <xf numFmtId="0" fontId="38" fillId="25" borderId="40" xfId="0" applyNumberFormat="1" applyFont="1" applyFill="1" applyBorder="1" applyAlignment="1" applyProtection="1">
      <alignment wrapText="1"/>
    </xf>
    <xf numFmtId="0" fontId="38" fillId="25" borderId="6" xfId="0" applyNumberFormat="1" applyFont="1" applyFill="1" applyBorder="1" applyProtection="1"/>
    <xf numFmtId="0" fontId="38" fillId="0" borderId="133" xfId="0" applyNumberFormat="1" applyFont="1" applyBorder="1" applyAlignment="1" applyProtection="1">
      <alignment horizontal="center"/>
    </xf>
    <xf numFmtId="0" fontId="38" fillId="0" borderId="96" xfId="0" applyNumberFormat="1" applyFont="1" applyBorder="1" applyAlignment="1" applyProtection="1">
      <alignment horizontal="center"/>
    </xf>
    <xf numFmtId="0" fontId="38" fillId="0" borderId="97" xfId="0" applyNumberFormat="1" applyFont="1" applyBorder="1" applyAlignment="1" applyProtection="1">
      <alignment horizontal="center"/>
    </xf>
    <xf numFmtId="0" fontId="38" fillId="0" borderId="97" xfId="0" applyNumberFormat="1" applyFont="1" applyBorder="1" applyAlignment="1" applyProtection="1">
      <alignment horizontal="center" wrapText="1"/>
    </xf>
    <xf numFmtId="0" fontId="38" fillId="0" borderId="11" xfId="0" applyNumberFormat="1" applyFont="1" applyBorder="1" applyAlignment="1" applyProtection="1">
      <alignment horizontal="center"/>
    </xf>
    <xf numFmtId="0" fontId="29" fillId="20" borderId="1" xfId="25" applyNumberFormat="1" applyFont="1" applyFill="1" applyBorder="1" applyProtection="1"/>
    <xf numFmtId="0" fontId="29" fillId="20" borderId="1" xfId="24" applyNumberFormat="1" applyFont="1" applyFill="1" applyBorder="1" applyProtection="1"/>
    <xf numFmtId="0" fontId="29" fillId="20" borderId="1" xfId="0" applyNumberFormat="1" applyFont="1" applyFill="1" applyBorder="1" applyAlignment="1" applyProtection="1">
      <alignment wrapText="1"/>
    </xf>
    <xf numFmtId="0" fontId="29" fillId="20" borderId="1" xfId="24" applyNumberFormat="1" applyFont="1" applyFill="1" applyBorder="1" applyAlignment="1" applyProtection="1">
      <alignment wrapText="1"/>
    </xf>
    <xf numFmtId="0" fontId="29" fillId="20" borderId="57" xfId="25" applyNumberFormat="1" applyFont="1" applyFill="1" applyBorder="1" applyProtection="1"/>
    <xf numFmtId="0" fontId="29" fillId="20" borderId="57" xfId="24" applyNumberFormat="1" applyFont="1" applyFill="1" applyBorder="1" applyProtection="1"/>
    <xf numFmtId="0" fontId="29" fillId="20" borderId="57" xfId="24" applyNumberFormat="1" applyFont="1" applyFill="1" applyBorder="1" applyAlignment="1" applyProtection="1">
      <alignment wrapText="1"/>
    </xf>
    <xf numFmtId="0" fontId="29" fillId="20" borderId="57" xfId="0" applyNumberFormat="1" applyFont="1" applyFill="1" applyBorder="1" applyAlignment="1" applyProtection="1">
      <alignment wrapText="1"/>
    </xf>
    <xf numFmtId="0" fontId="38" fillId="0" borderId="96" xfId="0" applyNumberFormat="1" applyFont="1" applyBorder="1" applyAlignment="1" applyProtection="1">
      <alignment horizontal="center" wrapText="1"/>
    </xf>
    <xf numFmtId="0" fontId="38" fillId="0" borderId="64" xfId="0" applyNumberFormat="1" applyFont="1" applyBorder="1" applyAlignment="1" applyProtection="1">
      <alignment horizontal="center" wrapText="1"/>
    </xf>
    <xf numFmtId="0" fontId="30" fillId="0" borderId="12" xfId="25" applyNumberFormat="1" applyFont="1" applyBorder="1" applyProtection="1"/>
    <xf numFmtId="0" fontId="30" fillId="19" borderId="1" xfId="0" applyNumberFormat="1" applyFont="1" applyFill="1" applyBorder="1" applyAlignment="1" applyProtection="1">
      <alignment horizontal="center"/>
      <protection locked="0"/>
    </xf>
    <xf numFmtId="0" fontId="29" fillId="20" borderId="14" xfId="0" applyNumberFormat="1" applyFont="1" applyFill="1" applyBorder="1" applyAlignment="1" applyProtection="1">
      <alignment wrapText="1"/>
    </xf>
    <xf numFmtId="0" fontId="30" fillId="0" borderId="13" xfId="25" applyNumberFormat="1" applyFont="1" applyBorder="1" applyProtection="1"/>
    <xf numFmtId="0" fontId="30" fillId="19" borderId="57" xfId="0" applyNumberFormat="1" applyFont="1" applyFill="1" applyBorder="1" applyAlignment="1" applyProtection="1">
      <alignment horizontal="center"/>
      <protection locked="0"/>
    </xf>
    <xf numFmtId="0" fontId="29" fillId="20" borderId="15" xfId="0" applyNumberFormat="1" applyFont="1" applyFill="1" applyBorder="1" applyAlignment="1" applyProtection="1">
      <alignment wrapText="1"/>
    </xf>
    <xf numFmtId="0" fontId="38" fillId="25" borderId="2" xfId="0" applyNumberFormat="1" applyFont="1" applyFill="1" applyBorder="1" applyAlignment="1" applyProtection="1">
      <alignment horizontal="center" wrapText="1"/>
    </xf>
    <xf numFmtId="0" fontId="30" fillId="18" borderId="0" xfId="0" applyNumberFormat="1" applyFont="1" applyFill="1" applyAlignment="1" applyProtection="1">
      <alignment wrapText="1"/>
    </xf>
    <xf numFmtId="0" fontId="15" fillId="0" borderId="0" xfId="0" applyNumberFormat="1" applyFont="1" applyAlignment="1">
      <alignment wrapText="1"/>
    </xf>
    <xf numFmtId="0" fontId="15" fillId="7" borderId="0" xfId="0" applyNumberFormat="1" applyFont="1" applyFill="1" applyBorder="1" applyAlignment="1">
      <alignment wrapText="1"/>
    </xf>
    <xf numFmtId="0" fontId="15" fillId="7" borderId="0" xfId="0" applyNumberFormat="1" applyFont="1" applyFill="1" applyAlignment="1">
      <alignment wrapText="1"/>
    </xf>
    <xf numFmtId="0" fontId="11" fillId="7" borderId="133" xfId="0" applyNumberFormat="1" applyFont="1" applyFill="1" applyBorder="1" applyAlignment="1">
      <alignment horizontal="center" wrapText="1"/>
    </xf>
    <xf numFmtId="0" fontId="11" fillId="7" borderId="25" xfId="0" applyNumberFormat="1" applyFont="1" applyFill="1" applyBorder="1" applyAlignment="1">
      <alignment horizontal="center" wrapText="1"/>
    </xf>
    <xf numFmtId="0" fontId="11" fillId="7" borderId="140" xfId="0" applyNumberFormat="1" applyFont="1" applyFill="1" applyBorder="1" applyAlignment="1">
      <alignment horizontal="center" wrapText="1"/>
    </xf>
    <xf numFmtId="0" fontId="15" fillId="7" borderId="68" xfId="0" applyNumberFormat="1" applyFont="1" applyFill="1" applyBorder="1" applyAlignment="1">
      <alignment horizontal="center" wrapText="1"/>
    </xf>
    <xf numFmtId="0" fontId="15" fillId="7" borderId="67" xfId="0" applyNumberFormat="1" applyFont="1" applyFill="1" applyBorder="1" applyAlignment="1"/>
    <xf numFmtId="0" fontId="15" fillId="7" borderId="69" xfId="0" applyNumberFormat="1" applyFont="1" applyFill="1" applyBorder="1" applyAlignment="1">
      <alignment wrapText="1"/>
    </xf>
    <xf numFmtId="0" fontId="15" fillId="7" borderId="141" xfId="0" applyNumberFormat="1" applyFont="1" applyFill="1" applyBorder="1" applyAlignment="1">
      <alignment wrapText="1"/>
    </xf>
    <xf numFmtId="0" fontId="11" fillId="7" borderId="36" xfId="0" applyNumberFormat="1" applyFont="1" applyFill="1" applyBorder="1" applyAlignment="1">
      <alignment horizontal="center" wrapText="1"/>
    </xf>
    <xf numFmtId="0" fontId="15" fillId="7" borderId="71" xfId="0" applyNumberFormat="1" applyFont="1" applyFill="1" applyBorder="1" applyAlignment="1">
      <alignment horizontal="center" wrapText="1"/>
    </xf>
    <xf numFmtId="0" fontId="15" fillId="7" borderId="70" xfId="0" applyNumberFormat="1" applyFont="1" applyFill="1" applyBorder="1" applyAlignment="1"/>
    <xf numFmtId="0" fontId="15" fillId="7" borderId="72" xfId="0" applyNumberFormat="1" applyFont="1" applyFill="1" applyBorder="1" applyAlignment="1">
      <alignment wrapText="1"/>
    </xf>
    <xf numFmtId="0" fontId="15" fillId="7" borderId="138" xfId="0" applyNumberFormat="1" applyFont="1" applyFill="1" applyBorder="1" applyAlignment="1">
      <alignment wrapText="1"/>
    </xf>
    <xf numFmtId="0" fontId="11" fillId="7" borderId="37" xfId="0" applyNumberFormat="1" applyFont="1" applyFill="1" applyBorder="1" applyAlignment="1">
      <alignment horizontal="center" wrapText="1"/>
    </xf>
    <xf numFmtId="0" fontId="15" fillId="7" borderId="142" xfId="0" applyNumberFormat="1" applyFont="1" applyFill="1" applyBorder="1" applyAlignment="1">
      <alignment horizontal="center" wrapText="1"/>
    </xf>
    <xf numFmtId="0" fontId="15" fillId="7" borderId="143" xfId="0" applyNumberFormat="1" applyFont="1" applyFill="1" applyBorder="1" applyAlignment="1"/>
    <xf numFmtId="0" fontId="15" fillId="7" borderId="144" xfId="0" applyNumberFormat="1" applyFont="1" applyFill="1" applyBorder="1" applyAlignment="1">
      <alignment wrapText="1"/>
    </xf>
    <xf numFmtId="0" fontId="15" fillId="7" borderId="145" xfId="0" applyNumberFormat="1" applyFont="1" applyFill="1" applyBorder="1" applyAlignment="1">
      <alignment wrapText="1"/>
    </xf>
    <xf numFmtId="0" fontId="15" fillId="0" borderId="0" xfId="0" applyNumberFormat="1" applyFont="1" applyBorder="1" applyAlignment="1">
      <alignment horizontal="centerContinuous" wrapText="1"/>
    </xf>
    <xf numFmtId="0" fontId="15" fillId="7" borderId="0" xfId="0" applyNumberFormat="1" applyFont="1" applyFill="1" applyBorder="1" applyAlignment="1">
      <alignment horizontal="centerContinuous" wrapText="1"/>
    </xf>
    <xf numFmtId="0" fontId="15" fillId="7" borderId="9" xfId="0" applyNumberFormat="1" applyFont="1" applyFill="1" applyBorder="1" applyAlignment="1">
      <alignment wrapText="1"/>
    </xf>
    <xf numFmtId="0" fontId="15" fillId="7" borderId="7" xfId="0" applyNumberFormat="1" applyFont="1" applyFill="1" applyBorder="1" applyAlignment="1">
      <alignment wrapText="1"/>
    </xf>
    <xf numFmtId="0" fontId="11" fillId="7" borderId="21" xfId="0" applyNumberFormat="1" applyFont="1" applyFill="1" applyBorder="1" applyAlignment="1">
      <alignment horizontal="center" wrapText="1"/>
    </xf>
    <xf numFmtId="0" fontId="11" fillId="7" borderId="139" xfId="0" applyNumberFormat="1" applyFont="1" applyFill="1" applyBorder="1" applyAlignment="1">
      <alignment horizontal="center" wrapText="1"/>
    </xf>
    <xf numFmtId="0" fontId="15" fillId="7" borderId="75" xfId="0" applyNumberFormat="1" applyFont="1" applyFill="1" applyBorder="1" applyAlignment="1">
      <alignment wrapText="1"/>
    </xf>
    <xf numFmtId="0" fontId="39" fillId="20" borderId="1" xfId="2" applyNumberFormat="1" applyFont="1" applyFill="1" applyBorder="1" applyAlignment="1">
      <alignment horizontal="center" wrapText="1"/>
    </xf>
    <xf numFmtId="0" fontId="15" fillId="0" borderId="1" xfId="0" applyNumberFormat="1" applyFont="1" applyBorder="1" applyAlignment="1">
      <alignment wrapText="1"/>
    </xf>
    <xf numFmtId="0" fontId="15" fillId="7" borderId="138" xfId="0" applyNumberFormat="1" applyFont="1" applyFill="1" applyBorder="1" applyAlignment="1">
      <alignment horizontal="left" wrapText="1"/>
    </xf>
    <xf numFmtId="0" fontId="15" fillId="0" borderId="0" xfId="0" applyNumberFormat="1" applyFont="1" applyBorder="1" applyAlignment="1">
      <alignment wrapText="1"/>
    </xf>
    <xf numFmtId="0" fontId="15" fillId="7" borderId="20" xfId="0" applyNumberFormat="1" applyFont="1" applyFill="1" applyBorder="1" applyAlignment="1">
      <alignment wrapText="1"/>
    </xf>
    <xf numFmtId="0" fontId="15" fillId="0" borderId="20" xfId="0" applyNumberFormat="1" applyFont="1" applyBorder="1" applyAlignment="1">
      <alignment wrapText="1"/>
    </xf>
    <xf numFmtId="0" fontId="39" fillId="20" borderId="1" xfId="2" applyNumberFormat="1" applyFont="1" applyFill="1" applyBorder="1" applyAlignment="1" applyProtection="1">
      <alignment horizontal="center" wrapText="1"/>
    </xf>
    <xf numFmtId="0" fontId="15" fillId="0" borderId="20" xfId="0" applyNumberFormat="1" applyFont="1" applyFill="1" applyBorder="1" applyAlignment="1">
      <alignment wrapText="1"/>
    </xf>
    <xf numFmtId="0" fontId="15" fillId="7" borderId="32" xfId="0" applyNumberFormat="1" applyFont="1" applyFill="1" applyBorder="1" applyAlignment="1">
      <alignment wrapText="1"/>
    </xf>
    <xf numFmtId="0" fontId="15" fillId="0" borderId="33" xfId="0" applyNumberFormat="1" applyFont="1" applyBorder="1" applyAlignment="1">
      <alignment wrapText="1"/>
    </xf>
    <xf numFmtId="0" fontId="15" fillId="0" borderId="34" xfId="0" applyNumberFormat="1" applyFont="1" applyBorder="1" applyAlignment="1">
      <alignment wrapText="1"/>
    </xf>
    <xf numFmtId="0" fontId="15" fillId="0" borderId="7" xfId="0" applyNumberFormat="1" applyFont="1" applyBorder="1" applyAlignment="1">
      <alignment wrapText="1"/>
    </xf>
    <xf numFmtId="0" fontId="15" fillId="7" borderId="8" xfId="0" applyNumberFormat="1" applyFont="1" applyFill="1" applyBorder="1" applyAlignment="1">
      <alignment wrapText="1"/>
    </xf>
    <xf numFmtId="0" fontId="11" fillId="0" borderId="41" xfId="0" applyNumberFormat="1" applyFont="1" applyBorder="1" applyAlignment="1">
      <alignment horizontal="centerContinuous" wrapText="1"/>
    </xf>
    <xf numFmtId="0" fontId="15" fillId="0" borderId="46" xfId="0" applyNumberFormat="1" applyFont="1" applyBorder="1" applyAlignment="1">
      <alignment horizontal="centerContinuous" wrapText="1"/>
    </xf>
    <xf numFmtId="0" fontId="15" fillId="7" borderId="46" xfId="0" applyNumberFormat="1" applyFont="1" applyFill="1" applyBorder="1" applyAlignment="1">
      <alignment horizontal="centerContinuous" wrapText="1"/>
    </xf>
    <xf numFmtId="0" fontId="15" fillId="0" borderId="43" xfId="0" applyNumberFormat="1" applyFont="1" applyBorder="1" applyAlignment="1">
      <alignment wrapText="1"/>
    </xf>
    <xf numFmtId="0" fontId="39" fillId="20" borderId="1" xfId="2" applyNumberFormat="1" applyFont="1" applyFill="1" applyBorder="1" applyAlignment="1">
      <alignment horizontal="center" vertical="center" wrapText="1"/>
    </xf>
    <xf numFmtId="0" fontId="11" fillId="0" borderId="7" xfId="0" applyNumberFormat="1" applyFont="1" applyBorder="1" applyAlignment="1">
      <alignment wrapText="1"/>
    </xf>
    <xf numFmtId="0" fontId="39" fillId="20" borderId="2" xfId="2" applyNumberFormat="1" applyFont="1" applyFill="1" applyBorder="1" applyAlignment="1">
      <alignment horizontal="center" wrapText="1"/>
    </xf>
    <xf numFmtId="0" fontId="15" fillId="7" borderId="12" xfId="0" applyNumberFormat="1" applyFont="1" applyFill="1" applyBorder="1" applyAlignment="1">
      <alignment horizontal="center" wrapText="1"/>
    </xf>
    <xf numFmtId="0" fontId="15" fillId="7" borderId="1" xfId="0" applyNumberFormat="1" applyFont="1" applyFill="1" applyBorder="1" applyAlignment="1">
      <alignment horizontal="center" wrapText="1"/>
    </xf>
    <xf numFmtId="0" fontId="39" fillId="20" borderId="12" xfId="2" applyNumberFormat="1" applyFont="1" applyFill="1" applyBorder="1" applyAlignment="1">
      <alignment horizontal="center" wrapText="1"/>
    </xf>
    <xf numFmtId="0" fontId="39" fillId="20" borderId="50" xfId="2" applyNumberFormat="1" applyFont="1" applyFill="1" applyBorder="1" applyAlignment="1">
      <alignment horizontal="center" wrapText="1"/>
    </xf>
    <xf numFmtId="0" fontId="20" fillId="5" borderId="1" xfId="2" applyNumberFormat="1" applyFont="1" applyFill="1" applyBorder="1" applyAlignment="1" applyProtection="1">
      <alignment horizontal="center" wrapText="1"/>
      <protection locked="0"/>
    </xf>
    <xf numFmtId="0" fontId="15" fillId="0" borderId="9" xfId="2" applyNumberFormat="1" applyFont="1" applyFill="1" applyBorder="1" applyAlignment="1">
      <alignment horizontal="left" wrapText="1"/>
    </xf>
    <xf numFmtId="0" fontId="15" fillId="0" borderId="10" xfId="2" applyNumberFormat="1" applyFont="1" applyFill="1" applyBorder="1" applyAlignment="1">
      <alignment horizontal="left" wrapText="1"/>
    </xf>
    <xf numFmtId="0" fontId="15" fillId="0" borderId="11" xfId="2" applyNumberFormat="1" applyFont="1" applyFill="1" applyBorder="1" applyAlignment="1">
      <alignment horizontal="left" wrapText="1"/>
    </xf>
    <xf numFmtId="0" fontId="15" fillId="0" borderId="7" xfId="2" applyNumberFormat="1" applyFont="1" applyFill="1" applyBorder="1" applyAlignment="1">
      <alignment horizontal="center" wrapText="1"/>
    </xf>
    <xf numFmtId="0" fontId="15" fillId="0" borderId="0" xfId="2" applyNumberFormat="1" applyFont="1" applyFill="1" applyBorder="1" applyAlignment="1">
      <alignment horizontal="left" wrapText="1"/>
    </xf>
    <xf numFmtId="0" fontId="15" fillId="0" borderId="1" xfId="2" applyNumberFormat="1" applyFont="1" applyFill="1" applyBorder="1" applyAlignment="1">
      <alignment horizontal="left" wrapText="1"/>
    </xf>
    <xf numFmtId="0" fontId="20" fillId="9" borderId="1" xfId="2" applyNumberFormat="1" applyFont="1" applyFill="1" applyBorder="1" applyAlignment="1">
      <alignment horizontal="left" wrapText="1"/>
    </xf>
    <xf numFmtId="0" fontId="15" fillId="0" borderId="8" xfId="2" applyNumberFormat="1" applyFont="1" applyFill="1" applyBorder="1" applyAlignment="1">
      <alignment horizontal="center" wrapText="1"/>
    </xf>
    <xf numFmtId="0" fontId="39" fillId="20" borderId="50" xfId="2" applyNumberFormat="1" applyFont="1" applyFill="1" applyBorder="1" applyAlignment="1">
      <alignment horizontal="center" vertical="center" wrapText="1"/>
    </xf>
    <xf numFmtId="0" fontId="15" fillId="0" borderId="0" xfId="0" applyNumberFormat="1" applyFont="1" applyFill="1" applyBorder="1" applyAlignment="1">
      <alignment wrapText="1"/>
    </xf>
    <xf numFmtId="0" fontId="15" fillId="0" borderId="32" xfId="2" applyNumberFormat="1" applyFont="1" applyFill="1" applyBorder="1" applyAlignment="1">
      <alignment horizontal="center" wrapText="1"/>
    </xf>
    <xf numFmtId="0" fontId="15" fillId="0" borderId="33" xfId="2" applyNumberFormat="1" applyFont="1" applyFill="1" applyBorder="1" applyAlignment="1">
      <alignment horizontal="left" wrapText="1"/>
    </xf>
    <xf numFmtId="0" fontId="15" fillId="0" borderId="34" xfId="2" applyNumberFormat="1" applyFont="1" applyFill="1" applyBorder="1" applyAlignment="1">
      <alignment horizontal="center" wrapText="1"/>
    </xf>
    <xf numFmtId="0" fontId="15" fillId="0" borderId="43" xfId="0" applyNumberFormat="1" applyFont="1" applyBorder="1" applyAlignment="1">
      <alignment vertical="top" wrapText="1"/>
    </xf>
    <xf numFmtId="0" fontId="39" fillId="20" borderId="2" xfId="2" applyNumberFormat="1" applyFont="1" applyFill="1" applyBorder="1" applyAlignment="1">
      <alignment horizontal="center" vertical="center" wrapText="1"/>
    </xf>
    <xf numFmtId="0" fontId="15" fillId="0" borderId="32" xfId="0" applyNumberFormat="1" applyFont="1" applyBorder="1" applyAlignment="1">
      <alignment wrapText="1"/>
    </xf>
    <xf numFmtId="0" fontId="15" fillId="7" borderId="33" xfId="0" applyNumberFormat="1" applyFont="1" applyFill="1" applyBorder="1" applyAlignment="1">
      <alignment wrapText="1"/>
    </xf>
    <xf numFmtId="0" fontId="15" fillId="7" borderId="34" xfId="0" applyNumberFormat="1" applyFont="1" applyFill="1" applyBorder="1" applyAlignment="1">
      <alignment wrapText="1"/>
    </xf>
    <xf numFmtId="0" fontId="15" fillId="0" borderId="8" xfId="0" applyNumberFormat="1" applyFont="1" applyBorder="1" applyAlignment="1">
      <alignment wrapText="1"/>
    </xf>
    <xf numFmtId="0" fontId="15" fillId="7" borderId="20" xfId="0" applyNumberFormat="1" applyFont="1" applyFill="1" applyBorder="1" applyAlignment="1">
      <alignment vertical="center" wrapText="1"/>
    </xf>
    <xf numFmtId="0" fontId="15" fillId="5" borderId="2" xfId="0" applyNumberFormat="1" applyFont="1" applyFill="1" applyBorder="1" applyAlignment="1" applyProtection="1">
      <alignment horizontal="center" vertical="center" wrapText="1"/>
      <protection locked="0"/>
    </xf>
    <xf numFmtId="0" fontId="15" fillId="0" borderId="0" xfId="0" applyNumberFormat="1" applyFont="1" applyBorder="1" applyAlignment="1">
      <alignment vertical="center" wrapText="1"/>
    </xf>
    <xf numFmtId="0" fontId="15" fillId="7" borderId="0" xfId="0" applyNumberFormat="1" applyFont="1" applyFill="1" applyBorder="1" applyAlignment="1">
      <alignment vertical="center" wrapText="1"/>
    </xf>
    <xf numFmtId="0" fontId="15" fillId="0" borderId="7" xfId="0" applyNumberFormat="1" applyFont="1" applyBorder="1" applyAlignment="1">
      <alignment vertical="center" wrapText="1"/>
    </xf>
    <xf numFmtId="0" fontId="15" fillId="7" borderId="10" xfId="0" applyNumberFormat="1" applyFont="1" applyFill="1" applyBorder="1" applyAlignment="1">
      <alignment wrapText="1"/>
    </xf>
    <xf numFmtId="0" fontId="39" fillId="20" borderId="1" xfId="2" applyNumberFormat="1" applyFont="1" applyFill="1" applyBorder="1" applyAlignment="1">
      <alignment vertical="center" wrapText="1"/>
    </xf>
    <xf numFmtId="0" fontId="15" fillId="7" borderId="43" xfId="0" applyNumberFormat="1" applyFont="1" applyFill="1" applyBorder="1" applyAlignment="1">
      <alignment wrapText="1"/>
    </xf>
    <xf numFmtId="0" fontId="11" fillId="7" borderId="10" xfId="0" applyNumberFormat="1" applyFont="1" applyFill="1" applyBorder="1" applyAlignment="1">
      <alignment horizontal="centerContinuous" wrapText="1"/>
    </xf>
    <xf numFmtId="0" fontId="15" fillId="7" borderId="10" xfId="0" applyNumberFormat="1" applyFont="1" applyFill="1" applyBorder="1" applyAlignment="1">
      <alignment horizontal="centerContinuous" wrapText="1"/>
    </xf>
    <xf numFmtId="0" fontId="15" fillId="7" borderId="11" xfId="0" applyNumberFormat="1" applyFont="1" applyFill="1" applyBorder="1" applyAlignment="1">
      <alignment wrapText="1"/>
    </xf>
    <xf numFmtId="0" fontId="11" fillId="0" borderId="41" xfId="0" applyNumberFormat="1" applyFont="1" applyBorder="1" applyAlignment="1">
      <alignment horizontal="left"/>
    </xf>
    <xf numFmtId="0" fontId="15" fillId="0" borderId="9" xfId="2" applyNumberFormat="1" applyFont="1" applyFill="1" applyBorder="1" applyAlignment="1" applyProtection="1">
      <alignment horizontal="left" wrapText="1"/>
    </xf>
    <xf numFmtId="0" fontId="15" fillId="0" borderId="10" xfId="2" applyNumberFormat="1" applyFont="1" applyFill="1" applyBorder="1" applyAlignment="1" applyProtection="1">
      <alignment horizontal="left" wrapText="1"/>
    </xf>
    <xf numFmtId="0" fontId="15" fillId="0" borderId="10" xfId="2" applyNumberFormat="1" applyFont="1" applyFill="1" applyBorder="1" applyAlignment="1" applyProtection="1">
      <alignment horizontal="center" wrapText="1"/>
    </xf>
    <xf numFmtId="0" fontId="15" fillId="0" borderId="11" xfId="2" applyNumberFormat="1" applyFont="1" applyFill="1" applyBorder="1" applyAlignment="1" applyProtection="1">
      <alignment horizontal="center" wrapText="1"/>
    </xf>
    <xf numFmtId="0" fontId="15" fillId="0" borderId="75" xfId="2" applyNumberFormat="1" applyFont="1" applyFill="1" applyBorder="1" applyAlignment="1" applyProtection="1">
      <alignment horizontal="left" wrapText="1"/>
    </xf>
    <xf numFmtId="0" fontId="15" fillId="0" borderId="76" xfId="2" applyNumberFormat="1" applyFont="1" applyFill="1" applyBorder="1" applyAlignment="1" applyProtection="1">
      <alignment horizontal="left" wrapText="1"/>
    </xf>
    <xf numFmtId="0" fontId="39" fillId="20" borderId="77" xfId="2" applyNumberFormat="1" applyFont="1" applyFill="1" applyBorder="1" applyAlignment="1" applyProtection="1">
      <alignment horizontal="left" wrapText="1"/>
    </xf>
    <xf numFmtId="0" fontId="15" fillId="0" borderId="0" xfId="2" applyNumberFormat="1" applyFont="1" applyFill="1" applyBorder="1" applyAlignment="1" applyProtection="1">
      <alignment horizontal="left" wrapText="1"/>
    </xf>
    <xf numFmtId="0" fontId="15" fillId="0" borderId="8" xfId="2" applyNumberFormat="1" applyFont="1" applyFill="1" applyBorder="1" applyAlignment="1" applyProtection="1">
      <alignment horizontal="center" wrapText="1"/>
    </xf>
    <xf numFmtId="0" fontId="15" fillId="7" borderId="1" xfId="0" applyNumberFormat="1" applyFont="1" applyFill="1" applyBorder="1" applyAlignment="1">
      <alignment vertical="center" wrapText="1"/>
    </xf>
    <xf numFmtId="0" fontId="15" fillId="5" borderId="1" xfId="2" applyNumberFormat="1" applyFont="1" applyFill="1" applyBorder="1" applyAlignment="1" applyProtection="1">
      <alignment horizontal="center" vertical="center" wrapText="1"/>
      <protection locked="0"/>
    </xf>
    <xf numFmtId="0" fontId="15" fillId="7" borderId="8" xfId="0" applyNumberFormat="1" applyFont="1" applyFill="1" applyBorder="1" applyAlignment="1">
      <alignment vertical="center" wrapText="1"/>
    </xf>
    <xf numFmtId="0" fontId="15" fillId="7" borderId="0" xfId="0" applyNumberFormat="1" applyFont="1" applyFill="1" applyAlignment="1">
      <alignment vertical="center" wrapText="1"/>
    </xf>
    <xf numFmtId="0" fontId="15" fillId="0" borderId="7" xfId="2" applyNumberFormat="1" applyFont="1" applyFill="1" applyBorder="1" applyAlignment="1" applyProtection="1">
      <alignment horizontal="left" wrapText="1"/>
    </xf>
    <xf numFmtId="0" fontId="39" fillId="20" borderId="78" xfId="2" applyNumberFormat="1" applyFont="1" applyFill="1" applyBorder="1" applyAlignment="1" applyProtection="1">
      <alignment horizontal="left" wrapText="1"/>
    </xf>
    <xf numFmtId="0" fontId="15" fillId="7" borderId="7" xfId="0" applyNumberFormat="1" applyFont="1" applyFill="1" applyBorder="1" applyAlignment="1">
      <alignment vertical="center" wrapText="1"/>
    </xf>
    <xf numFmtId="0" fontId="15" fillId="0" borderId="1" xfId="0" applyNumberFormat="1" applyFont="1" applyBorder="1" applyAlignment="1">
      <alignment vertical="center" wrapText="1"/>
    </xf>
    <xf numFmtId="0" fontId="15" fillId="0" borderId="50" xfId="2" applyNumberFormat="1" applyFont="1" applyFill="1" applyBorder="1" applyAlignment="1" applyProtection="1">
      <alignment horizontal="left" wrapText="1"/>
    </xf>
    <xf numFmtId="0" fontId="11" fillId="0" borderId="1" xfId="2" applyNumberFormat="1" applyFont="1" applyFill="1" applyBorder="1" applyAlignment="1" applyProtection="1">
      <alignment horizontal="left" wrapText="1"/>
    </xf>
    <xf numFmtId="0" fontId="11" fillId="0" borderId="14" xfId="2" applyNumberFormat="1" applyFont="1" applyFill="1" applyBorder="1" applyAlignment="1" applyProtection="1">
      <alignment horizontal="left" wrapText="1"/>
    </xf>
    <xf numFmtId="0" fontId="39" fillId="20" borderId="0" xfId="2" applyNumberFormat="1" applyFont="1" applyFill="1" applyBorder="1" applyAlignment="1" applyProtection="1">
      <alignment horizontal="left" wrapText="1"/>
    </xf>
    <xf numFmtId="0" fontId="39" fillId="20" borderId="1" xfId="2" applyNumberFormat="1" applyFont="1" applyFill="1" applyBorder="1" applyAlignment="1" applyProtection="1">
      <alignment horizontal="left" wrapText="1"/>
    </xf>
    <xf numFmtId="0" fontId="39" fillId="20" borderId="14" xfId="2" applyNumberFormat="1" applyFont="1" applyFill="1" applyBorder="1" applyAlignment="1" applyProtection="1">
      <alignment horizontal="left" wrapText="1"/>
    </xf>
    <xf numFmtId="0" fontId="15" fillId="0" borderId="41" xfId="2" applyNumberFormat="1" applyFont="1" applyFill="1" applyBorder="1" applyAlignment="1" applyProtection="1">
      <alignment horizontal="left" wrapText="1"/>
    </xf>
    <xf numFmtId="0" fontId="15" fillId="0" borderId="46" xfId="2" applyNumberFormat="1" applyFont="1" applyFill="1" applyBorder="1" applyAlignment="1" applyProtection="1">
      <alignment horizontal="left" wrapText="1"/>
    </xf>
    <xf numFmtId="0" fontId="39" fillId="20" borderId="79" xfId="2" applyNumberFormat="1" applyFont="1" applyFill="1" applyBorder="1" applyAlignment="1" applyProtection="1">
      <alignment horizontal="left" wrapText="1"/>
    </xf>
    <xf numFmtId="0" fontId="15" fillId="5" borderId="1" xfId="2" applyNumberFormat="1" applyFont="1" applyFill="1" applyBorder="1" applyAlignment="1" applyProtection="1">
      <alignment horizontal="center" wrapText="1"/>
      <protection locked="0"/>
    </xf>
    <xf numFmtId="0" fontId="20" fillId="9" borderId="1" xfId="2" applyNumberFormat="1" applyFont="1" applyFill="1" applyBorder="1" applyAlignment="1">
      <alignment horizontal="center" wrapText="1"/>
    </xf>
    <xf numFmtId="0" fontId="15" fillId="0" borderId="7" xfId="2" applyNumberFormat="1" applyFont="1" applyFill="1" applyBorder="1" applyAlignment="1" applyProtection="1">
      <alignment horizontal="center" wrapText="1"/>
    </xf>
    <xf numFmtId="0" fontId="15" fillId="0" borderId="1" xfId="2" applyNumberFormat="1" applyFont="1" applyFill="1" applyBorder="1" applyAlignment="1" applyProtection="1">
      <alignment horizontal="left" wrapText="1"/>
    </xf>
    <xf numFmtId="0" fontId="39" fillId="20" borderId="14" xfId="2" applyNumberFormat="1" applyFont="1" applyFill="1" applyBorder="1" applyAlignment="1" applyProtection="1">
      <alignment horizontal="center" wrapText="1"/>
    </xf>
    <xf numFmtId="0" fontId="15" fillId="0" borderId="32" xfId="2" applyNumberFormat="1" applyFont="1" applyFill="1" applyBorder="1" applyAlignment="1" applyProtection="1">
      <alignment horizontal="center" wrapText="1"/>
    </xf>
    <xf numFmtId="0" fontId="15" fillId="0" borderId="33" xfId="2" applyNumberFormat="1" applyFont="1" applyFill="1" applyBorder="1" applyAlignment="1" applyProtection="1">
      <alignment horizontal="left" wrapText="1"/>
    </xf>
    <xf numFmtId="0" fontId="15" fillId="0" borderId="34" xfId="2" applyNumberFormat="1" applyFont="1" applyFill="1" applyBorder="1" applyAlignment="1" applyProtection="1">
      <alignment horizontal="center" wrapText="1"/>
    </xf>
    <xf numFmtId="0" fontId="39" fillId="20" borderId="80" xfId="2" applyNumberFormat="1" applyFont="1" applyFill="1" applyBorder="1" applyAlignment="1">
      <alignment horizontal="center" wrapText="1"/>
    </xf>
    <xf numFmtId="0" fontId="15" fillId="19" borderId="1" xfId="0" applyNumberFormat="1" applyFont="1" applyFill="1" applyBorder="1" applyAlignment="1" applyProtection="1">
      <alignment wrapText="1"/>
      <protection locked="0"/>
    </xf>
    <xf numFmtId="0" fontId="15" fillId="0" borderId="1" xfId="0" applyNumberFormat="1" applyFont="1" applyFill="1" applyBorder="1" applyAlignment="1">
      <alignment horizontal="center" wrapText="1"/>
    </xf>
    <xf numFmtId="0" fontId="15" fillId="6" borderId="0" xfId="0" applyNumberFormat="1" applyFont="1" applyFill="1" applyAlignment="1">
      <alignment wrapText="1"/>
    </xf>
    <xf numFmtId="0" fontId="11" fillId="0" borderId="1" xfId="0" applyNumberFormat="1" applyFont="1" applyBorder="1" applyAlignment="1">
      <alignment horizontal="center" vertical="center" wrapText="1"/>
    </xf>
    <xf numFmtId="0" fontId="39" fillId="20" borderId="5" xfId="2" applyNumberFormat="1" applyFont="1" applyFill="1" applyBorder="1" applyAlignment="1">
      <alignment horizontal="center" wrapText="1"/>
    </xf>
    <xf numFmtId="0" fontId="29" fillId="20" borderId="5" xfId="0" applyNumberFormat="1" applyFont="1" applyFill="1" applyBorder="1" applyAlignment="1" applyProtection="1">
      <alignment horizontal="center" wrapText="1"/>
    </xf>
    <xf numFmtId="0" fontId="11" fillId="0" borderId="80" xfId="0" applyNumberFormat="1" applyFont="1" applyBorder="1" applyAlignment="1">
      <alignment horizontal="center" vertical="center" wrapText="1"/>
    </xf>
    <xf numFmtId="0" fontId="4" fillId="0" borderId="12" xfId="0" applyNumberFormat="1" applyFont="1" applyBorder="1" applyAlignment="1">
      <alignment horizontal="center" vertical="center"/>
    </xf>
    <xf numFmtId="0" fontId="3" fillId="0" borderId="151" xfId="0" applyNumberFormat="1" applyFont="1" applyBorder="1"/>
    <xf numFmtId="0" fontId="3" fillId="0" borderId="95" xfId="0" applyNumberFormat="1" applyFont="1" applyBorder="1"/>
    <xf numFmtId="0" fontId="3" fillId="0" borderId="151" xfId="17" applyFont="1" applyBorder="1"/>
    <xf numFmtId="0" fontId="19" fillId="19" borderId="152" xfId="14" applyFont="1" applyFill="1" applyBorder="1" applyAlignment="1" applyProtection="1">
      <alignment horizontal="left" vertical="center"/>
      <protection locked="0"/>
    </xf>
    <xf numFmtId="14" fontId="9" fillId="5" borderId="14" xfId="0" applyNumberFormat="1" applyFont="1" applyFill="1" applyBorder="1" applyAlignment="1" applyProtection="1">
      <alignment horizontal="center"/>
      <protection locked="0"/>
    </xf>
    <xf numFmtId="14" fontId="3" fillId="5" borderId="14" xfId="0" applyNumberFormat="1" applyFont="1" applyFill="1" applyBorder="1" applyAlignment="1" applyProtection="1">
      <alignment horizontal="center"/>
      <protection locked="0"/>
    </xf>
    <xf numFmtId="14" fontId="3" fillId="5" borderId="14" xfId="0" applyNumberFormat="1" applyFont="1" applyFill="1" applyBorder="1" applyAlignment="1" applyProtection="1">
      <alignment horizontal="center" vertical="top"/>
      <protection locked="0"/>
    </xf>
    <xf numFmtId="14" fontId="3" fillId="5" borderId="15" xfId="0" applyNumberFormat="1" applyFont="1" applyFill="1" applyBorder="1" applyAlignment="1" applyProtection="1">
      <alignment horizontal="center"/>
      <protection locked="0"/>
    </xf>
    <xf numFmtId="14" fontId="3" fillId="5" borderId="1" xfId="0" applyNumberFormat="1" applyFont="1" applyFill="1" applyBorder="1" applyAlignment="1" applyProtection="1">
      <alignment horizontal="center"/>
      <protection locked="0"/>
    </xf>
    <xf numFmtId="0" fontId="9" fillId="5" borderId="12" xfId="14" applyFont="1" applyFill="1" applyBorder="1" applyAlignment="1" applyProtection="1">
      <alignment horizontal="left" vertical="top"/>
      <protection locked="0"/>
    </xf>
    <xf numFmtId="0" fontId="9" fillId="5" borderId="1" xfId="14" applyFont="1" applyFill="1" applyBorder="1" applyAlignment="1" applyProtection="1">
      <alignment horizontal="left" vertical="top"/>
      <protection locked="0"/>
    </xf>
    <xf numFmtId="14" fontId="9" fillId="5" borderId="1" xfId="14" applyNumberFormat="1" applyFont="1" applyFill="1" applyBorder="1" applyAlignment="1" applyProtection="1">
      <alignment horizontal="left" vertical="top"/>
      <protection locked="0"/>
    </xf>
    <xf numFmtId="14" fontId="9" fillId="5" borderId="14" xfId="14" applyNumberFormat="1" applyFont="1" applyFill="1" applyBorder="1" applyAlignment="1" applyProtection="1">
      <alignment horizontal="left" vertical="top"/>
      <protection locked="0"/>
    </xf>
    <xf numFmtId="10" fontId="9" fillId="5" borderId="1" xfId="14" applyNumberFormat="1" applyFont="1" applyFill="1" applyBorder="1" applyAlignment="1" applyProtection="1">
      <alignment horizontal="left" vertical="top"/>
      <protection locked="0"/>
    </xf>
    <xf numFmtId="0" fontId="9" fillId="5" borderId="14" xfId="14" applyFont="1" applyFill="1" applyBorder="1" applyAlignment="1" applyProtection="1">
      <alignment horizontal="left" vertical="top"/>
      <protection locked="0"/>
    </xf>
    <xf numFmtId="0" fontId="9" fillId="5" borderId="13" xfId="14" applyFont="1" applyFill="1" applyBorder="1" applyAlignment="1" applyProtection="1">
      <alignment horizontal="left" vertical="top"/>
      <protection locked="0"/>
    </xf>
    <xf numFmtId="0" fontId="9" fillId="5" borderId="57" xfId="14" applyFont="1" applyFill="1" applyBorder="1" applyAlignment="1" applyProtection="1">
      <alignment horizontal="left" vertical="top"/>
      <protection locked="0"/>
    </xf>
    <xf numFmtId="0" fontId="9" fillId="5" borderId="15" xfId="14" applyFont="1" applyFill="1" applyBorder="1" applyAlignment="1" applyProtection="1">
      <alignment horizontal="left" vertical="top"/>
      <protection locked="0"/>
    </xf>
    <xf numFmtId="0" fontId="4" fillId="0" borderId="104" xfId="17" applyFont="1" applyFill="1" applyBorder="1" applyAlignment="1">
      <alignment horizontal="center" vertical="center"/>
    </xf>
    <xf numFmtId="0" fontId="4" fillId="0" borderId="51" xfId="17" applyFont="1" applyFill="1" applyBorder="1" applyAlignment="1">
      <alignment horizontal="center" vertical="center"/>
    </xf>
    <xf numFmtId="0" fontId="4" fillId="0" borderId="51" xfId="17" applyFont="1" applyBorder="1" applyAlignment="1">
      <alignment horizontal="center" vertical="center"/>
    </xf>
    <xf numFmtId="0" fontId="4" fillId="0" borderId="63" xfId="17" applyFont="1" applyFill="1" applyBorder="1" applyAlignment="1">
      <alignment horizontal="center" vertical="center"/>
    </xf>
    <xf numFmtId="14" fontId="3" fillId="5" borderId="28" xfId="0" applyNumberFormat="1" applyFont="1" applyFill="1" applyBorder="1" applyAlignment="1" applyProtection="1">
      <alignment horizontal="center"/>
      <protection locked="0"/>
    </xf>
    <xf numFmtId="14" fontId="3" fillId="5" borderId="38" xfId="0" applyNumberFormat="1" applyFont="1" applyFill="1" applyBorder="1" applyAlignment="1" applyProtection="1">
      <alignment horizontal="center"/>
      <protection locked="0"/>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63"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15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153"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7" xfId="0" applyFont="1" applyBorder="1" applyAlignment="1">
      <alignment horizontal="center" vertical="center" wrapText="1"/>
    </xf>
    <xf numFmtId="0" fontId="4" fillId="0" borderId="57" xfId="0" applyFont="1" applyBorder="1" applyAlignment="1">
      <alignment horizontal="center" vertical="center" wrapText="1"/>
    </xf>
    <xf numFmtId="0" fontId="30" fillId="0" borderId="33" xfId="0" applyFont="1" applyBorder="1" applyAlignment="1"/>
    <xf numFmtId="0" fontId="30" fillId="0" borderId="33" xfId="0" applyFont="1" applyBorder="1" applyProtection="1"/>
    <xf numFmtId="0" fontId="29" fillId="22" borderId="146" xfId="19" applyFont="1" applyFill="1" applyBorder="1" applyAlignment="1" applyProtection="1">
      <alignment horizontal="center" vertical="center"/>
    </xf>
    <xf numFmtId="0" fontId="3" fillId="0" borderId="154" xfId="0" applyFont="1" applyBorder="1" applyAlignment="1">
      <alignment horizontal="left" vertical="center"/>
    </xf>
    <xf numFmtId="0" fontId="3" fillId="0" borderId="155" xfId="0" applyFont="1" applyBorder="1" applyAlignment="1">
      <alignment vertical="center"/>
    </xf>
    <xf numFmtId="0" fontId="4" fillId="0" borderId="104" xfId="19" applyFont="1" applyBorder="1" applyAlignment="1">
      <alignment horizontal="center" vertical="center"/>
    </xf>
    <xf numFmtId="0" fontId="4" fillId="0" borderId="63" xfId="19" applyFont="1" applyBorder="1" applyAlignment="1">
      <alignment horizontal="center" vertical="center"/>
    </xf>
    <xf numFmtId="0" fontId="43" fillId="0" borderId="0" xfId="11" applyFont="1" applyAlignment="1" applyProtection="1">
      <alignment vertical="center"/>
    </xf>
    <xf numFmtId="0" fontId="32" fillId="0" borderId="0" xfId="11" applyAlignment="1" applyProtection="1">
      <protection locked="0"/>
    </xf>
    <xf numFmtId="14" fontId="5" fillId="0" borderId="0" xfId="14" applyNumberFormat="1" applyFont="1" applyFill="1" applyBorder="1" applyProtection="1">
      <alignment horizontal="center" vertical="center"/>
    </xf>
    <xf numFmtId="14" fontId="5" fillId="0" borderId="0" xfId="14" applyNumberFormat="1" applyFont="1" applyFill="1" applyBorder="1" applyAlignment="1" applyProtection="1">
      <alignment horizontal="left" vertical="center"/>
    </xf>
    <xf numFmtId="0" fontId="9" fillId="5" borderId="15" xfId="14" applyFont="1" applyFill="1" applyBorder="1" applyAlignment="1" applyProtection="1">
      <alignment horizontal="left" vertical="center"/>
      <protection locked="0"/>
    </xf>
    <xf numFmtId="0" fontId="10" fillId="16" borderId="5" xfId="10" applyFont="1" applyBorder="1" applyAlignment="1">
      <alignment horizontal="left" vertical="center"/>
    </xf>
    <xf numFmtId="0" fontId="10" fillId="16" borderId="40" xfId="10" applyFont="1" applyBorder="1" applyAlignment="1">
      <alignment horizontal="left" vertical="center"/>
    </xf>
    <xf numFmtId="0" fontId="10" fillId="16" borderId="6" xfId="10" applyFont="1" applyBorder="1" applyAlignment="1">
      <alignment horizontal="left" vertical="center"/>
    </xf>
    <xf numFmtId="0" fontId="2" fillId="16" borderId="5" xfId="10" applyFont="1" applyBorder="1" applyAlignment="1">
      <alignment horizontal="left" vertical="center"/>
    </xf>
    <xf numFmtId="0" fontId="2" fillId="16" borderId="6" xfId="10" applyFont="1" applyBorder="1" applyAlignment="1">
      <alignment horizontal="left" vertical="center"/>
    </xf>
    <xf numFmtId="0" fontId="18" fillId="16" borderId="5" xfId="10" applyFont="1" applyBorder="1" applyAlignment="1">
      <alignment horizontal="left" vertical="center"/>
    </xf>
    <xf numFmtId="0" fontId="18" fillId="16" borderId="6" xfId="10" applyFont="1" applyBorder="1" applyAlignment="1">
      <alignment horizontal="left" vertical="center"/>
    </xf>
    <xf numFmtId="0" fontId="10" fillId="10" borderId="9" xfId="10" applyFont="1" applyFill="1" applyBorder="1" applyAlignment="1" applyProtection="1">
      <alignment horizontal="left" vertical="center" wrapText="1"/>
    </xf>
    <xf numFmtId="0" fontId="9" fillId="10" borderId="11" xfId="10" applyFont="1" applyFill="1" applyBorder="1" applyAlignment="1" applyProtection="1">
      <alignment horizontal="left" vertical="center" wrapText="1"/>
    </xf>
    <xf numFmtId="0" fontId="9" fillId="10" borderId="32" xfId="10" applyFont="1" applyFill="1" applyBorder="1" applyAlignment="1" applyProtection="1">
      <alignment horizontal="left" vertical="center" wrapText="1"/>
    </xf>
    <xf numFmtId="0" fontId="9" fillId="10" borderId="34" xfId="10" applyFont="1" applyFill="1" applyBorder="1" applyAlignment="1" applyProtection="1">
      <alignment horizontal="left" vertical="center" wrapText="1"/>
    </xf>
    <xf numFmtId="0" fontId="9" fillId="24" borderId="9" xfId="10" applyFont="1" applyFill="1" applyBorder="1" applyAlignment="1">
      <alignment horizontal="left" vertical="top" wrapText="1"/>
    </xf>
    <xf numFmtId="0" fontId="9" fillId="24" borderId="11" xfId="10" applyFont="1" applyFill="1" applyBorder="1" applyAlignment="1">
      <alignment horizontal="left" vertical="top" wrapText="1"/>
    </xf>
    <xf numFmtId="0" fontId="9" fillId="24" borderId="7" xfId="10" applyFont="1" applyFill="1" applyBorder="1" applyAlignment="1">
      <alignment horizontal="left" vertical="top" wrapText="1"/>
    </xf>
    <xf numFmtId="0" fontId="9" fillId="24" borderId="8" xfId="10" applyFont="1" applyFill="1" applyBorder="1" applyAlignment="1">
      <alignment horizontal="left" vertical="top" wrapText="1"/>
    </xf>
    <xf numFmtId="0" fontId="9" fillId="24" borderId="32" xfId="10" applyFont="1" applyFill="1" applyBorder="1" applyAlignment="1">
      <alignment horizontal="left" vertical="top" wrapText="1"/>
    </xf>
    <xf numFmtId="0" fontId="9" fillId="24" borderId="34" xfId="10" applyFont="1" applyFill="1" applyBorder="1" applyAlignment="1">
      <alignment horizontal="left" vertical="top" wrapText="1"/>
    </xf>
    <xf numFmtId="0" fontId="32" fillId="0" borderId="5" xfId="11" applyFont="1" applyBorder="1" applyAlignment="1" applyProtection="1">
      <alignment wrapText="1"/>
      <protection locked="0"/>
    </xf>
    <xf numFmtId="0" fontId="32" fillId="0" borderId="40" xfId="11" applyFont="1" applyBorder="1" applyAlignment="1" applyProtection="1">
      <alignment wrapText="1"/>
      <protection locked="0"/>
    </xf>
    <xf numFmtId="0" fontId="32" fillId="0" borderId="6" xfId="11" applyFont="1" applyBorder="1" applyAlignment="1" applyProtection="1">
      <alignment wrapText="1"/>
      <protection locked="0"/>
    </xf>
    <xf numFmtId="0" fontId="38" fillId="25" borderId="5" xfId="0" applyFont="1" applyFill="1" applyBorder="1" applyAlignment="1">
      <alignment horizontal="center"/>
    </xf>
    <xf numFmtId="0" fontId="38" fillId="25" borderId="6" xfId="0" applyFont="1" applyFill="1" applyBorder="1" applyAlignment="1">
      <alignment horizontal="center"/>
    </xf>
    <xf numFmtId="0" fontId="38" fillId="25" borderId="147" xfId="0" applyFont="1" applyFill="1" applyBorder="1" applyAlignment="1">
      <alignment horizontal="center" vertical="center"/>
    </xf>
    <xf numFmtId="0" fontId="38" fillId="25" borderId="148" xfId="0" applyFont="1" applyFill="1" applyBorder="1" applyAlignment="1">
      <alignment horizontal="center" vertical="center"/>
    </xf>
    <xf numFmtId="0" fontId="4" fillId="18" borderId="5" xfId="0" applyFont="1" applyFill="1" applyBorder="1" applyAlignment="1">
      <alignment horizontal="left" vertical="center"/>
    </xf>
    <xf numFmtId="0" fontId="4" fillId="18" borderId="40" xfId="0" applyFont="1" applyFill="1" applyBorder="1" applyAlignment="1">
      <alignment horizontal="left" vertical="center"/>
    </xf>
    <xf numFmtId="0" fontId="4" fillId="18" borderId="6" xfId="0" applyFont="1" applyFill="1" applyBorder="1" applyAlignment="1">
      <alignment horizontal="left" vertical="center"/>
    </xf>
    <xf numFmtId="0" fontId="3" fillId="0" borderId="91" xfId="16" applyFont="1" applyBorder="1" applyAlignment="1" applyProtection="1">
      <alignment horizontal="left"/>
    </xf>
    <xf numFmtId="0" fontId="3" fillId="0" borderId="92" xfId="16" applyFont="1" applyBorder="1" applyAlignment="1" applyProtection="1">
      <alignment horizontal="left"/>
    </xf>
    <xf numFmtId="0" fontId="3" fillId="0" borderId="0" xfId="16" applyFont="1" applyFill="1" applyBorder="1" applyAlignment="1" applyProtection="1">
      <alignment horizontal="left"/>
    </xf>
    <xf numFmtId="0" fontId="10" fillId="8" borderId="9" xfId="10" applyFont="1" applyFill="1" applyBorder="1" applyAlignment="1" applyProtection="1">
      <alignment horizontal="left" vertical="center" wrapText="1"/>
    </xf>
    <xf numFmtId="0" fontId="10" fillId="8" borderId="10" xfId="10" applyFont="1" applyFill="1" applyBorder="1" applyAlignment="1" applyProtection="1">
      <alignment horizontal="left" vertical="center" wrapText="1"/>
    </xf>
    <xf numFmtId="0" fontId="10" fillId="8" borderId="11" xfId="10" applyFont="1" applyFill="1" applyBorder="1" applyAlignment="1" applyProtection="1">
      <alignment horizontal="left" vertical="center" wrapText="1"/>
    </xf>
    <xf numFmtId="0" fontId="10" fillId="8" borderId="7" xfId="10" applyFont="1" applyFill="1" applyBorder="1" applyAlignment="1" applyProtection="1">
      <alignment horizontal="left" vertical="center" wrapText="1"/>
    </xf>
    <xf numFmtId="0" fontId="10" fillId="8" borderId="0" xfId="10" applyFont="1" applyFill="1" applyBorder="1" applyAlignment="1" applyProtection="1">
      <alignment horizontal="left" vertical="center" wrapText="1"/>
    </xf>
    <xf numFmtId="0" fontId="10" fillId="8" borderId="8" xfId="10" applyFont="1" applyFill="1" applyBorder="1" applyAlignment="1" applyProtection="1">
      <alignment horizontal="left" vertical="center" wrapText="1"/>
    </xf>
    <xf numFmtId="0" fontId="3" fillId="0" borderId="20" xfId="19" applyFont="1" applyBorder="1" applyAlignment="1">
      <alignment horizontal="left"/>
    </xf>
    <xf numFmtId="0" fontId="3" fillId="0" borderId="50" xfId="19" applyFont="1" applyBorder="1" applyAlignment="1">
      <alignment horizontal="left"/>
    </xf>
    <xf numFmtId="0" fontId="43" fillId="0" borderId="0" xfId="11" applyFont="1" applyAlignment="1" applyProtection="1">
      <alignment horizontal="left" vertical="center"/>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20" xfId="19" applyFont="1" applyBorder="1" applyAlignment="1">
      <alignment horizontal="center"/>
    </xf>
    <xf numFmtId="0" fontId="4" fillId="0" borderId="50" xfId="19" applyFont="1" applyBorder="1" applyAlignment="1">
      <alignment horizontal="center"/>
    </xf>
    <xf numFmtId="0" fontId="3" fillId="0" borderId="20" xfId="16" applyFont="1" applyBorder="1" applyAlignment="1" applyProtection="1">
      <alignment horizontal="left"/>
    </xf>
    <xf numFmtId="0" fontId="3" fillId="0" borderId="50" xfId="16" applyFont="1" applyBorder="1" applyAlignment="1" applyProtection="1">
      <alignment horizontal="left"/>
    </xf>
    <xf numFmtId="0" fontId="3" fillId="5" borderId="75" xfId="0" applyFont="1" applyFill="1" applyBorder="1" applyAlignment="1" applyProtection="1">
      <alignment horizontal="left" vertical="top" wrapText="1"/>
      <protection locked="0"/>
    </xf>
    <xf numFmtId="0" fontId="3" fillId="5" borderId="76" xfId="0" applyFont="1" applyFill="1" applyBorder="1" applyAlignment="1" applyProtection="1">
      <alignment horizontal="left" vertical="top" wrapText="1"/>
      <protection locked="0"/>
    </xf>
    <xf numFmtId="0" fontId="3" fillId="5" borderId="47"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0" xfId="0" applyFont="1" applyFill="1" applyBorder="1" applyAlignment="1" applyProtection="1">
      <alignment horizontal="left" vertical="top" wrapText="1"/>
      <protection locked="0"/>
    </xf>
    <xf numFmtId="0" fontId="3" fillId="5" borderId="8" xfId="0" applyFont="1" applyFill="1" applyBorder="1" applyAlignment="1" applyProtection="1">
      <alignment horizontal="left" vertical="top" wrapText="1"/>
      <protection locked="0"/>
    </xf>
    <xf numFmtId="0" fontId="3" fillId="5" borderId="41" xfId="0" applyFont="1" applyFill="1" applyBorder="1" applyAlignment="1" applyProtection="1">
      <alignment horizontal="left" vertical="top" wrapText="1"/>
      <protection locked="0"/>
    </xf>
    <xf numFmtId="0" fontId="3" fillId="5" borderId="46" xfId="0" applyFont="1" applyFill="1" applyBorder="1" applyAlignment="1" applyProtection="1">
      <alignment horizontal="left" vertical="top" wrapText="1"/>
      <protection locked="0"/>
    </xf>
    <xf numFmtId="0" fontId="3" fillId="5" borderId="16" xfId="0" applyFont="1" applyFill="1" applyBorder="1" applyAlignment="1" applyProtection="1">
      <alignment horizontal="left" vertical="top" wrapText="1"/>
      <protection locked="0"/>
    </xf>
    <xf numFmtId="0" fontId="3" fillId="5" borderId="32" xfId="0" applyFont="1" applyFill="1" applyBorder="1" applyAlignment="1" applyProtection="1">
      <alignment horizontal="left" vertical="top" wrapText="1"/>
      <protection locked="0"/>
    </xf>
    <xf numFmtId="0" fontId="3" fillId="5" borderId="33" xfId="0" applyFont="1" applyFill="1" applyBorder="1" applyAlignment="1" applyProtection="1">
      <alignment horizontal="left" vertical="top" wrapText="1"/>
      <protection locked="0"/>
    </xf>
    <xf numFmtId="0" fontId="3" fillId="5" borderId="34" xfId="0" applyFont="1" applyFill="1" applyBorder="1" applyAlignment="1" applyProtection="1">
      <alignment horizontal="left" vertical="top" wrapText="1"/>
      <protection locked="0"/>
    </xf>
    <xf numFmtId="0" fontId="4" fillId="25" borderId="5" xfId="0" applyFont="1" applyFill="1" applyBorder="1" applyAlignment="1">
      <alignment horizontal="left" vertical="center"/>
    </xf>
    <xf numFmtId="0" fontId="4" fillId="25" borderId="40" xfId="0" applyFont="1" applyFill="1" applyBorder="1" applyAlignment="1">
      <alignment horizontal="left" vertical="center"/>
    </xf>
    <xf numFmtId="0" fontId="4" fillId="25" borderId="6" xfId="0" applyFont="1" applyFill="1" applyBorder="1" applyAlignment="1">
      <alignment horizontal="left" vertical="center"/>
    </xf>
    <xf numFmtId="0" fontId="32" fillId="8" borderId="0" xfId="11" applyFill="1" applyBorder="1" applyAlignment="1" applyProtection="1">
      <alignment horizontal="left" vertical="center"/>
      <protection locked="0"/>
    </xf>
    <xf numFmtId="0" fontId="3" fillId="5" borderId="93" xfId="0" applyFont="1" applyFill="1" applyBorder="1" applyAlignment="1" applyProtection="1">
      <alignment horizontal="left" vertical="top" wrapText="1"/>
      <protection locked="0"/>
    </xf>
    <xf numFmtId="0" fontId="3" fillId="5" borderId="21" xfId="0" applyFont="1" applyFill="1" applyBorder="1" applyAlignment="1" applyProtection="1">
      <alignment horizontal="left" vertical="top" wrapText="1"/>
      <protection locked="0"/>
    </xf>
    <xf numFmtId="0" fontId="3" fillId="5" borderId="73" xfId="0" applyFont="1" applyFill="1" applyBorder="1" applyAlignment="1" applyProtection="1">
      <alignment horizontal="left" vertical="top" wrapText="1"/>
      <protection locked="0"/>
    </xf>
    <xf numFmtId="0" fontId="3" fillId="5" borderId="94" xfId="0" applyFont="1" applyFill="1" applyBorder="1" applyAlignment="1" applyProtection="1">
      <alignment horizontal="left" vertical="top" wrapText="1"/>
      <protection locked="0"/>
    </xf>
    <xf numFmtId="0" fontId="30" fillId="0" borderId="135"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95" xfId="0" applyFont="1" applyFill="1" applyBorder="1" applyAlignment="1">
      <alignment horizontal="left" vertical="center" wrapText="1"/>
    </xf>
    <xf numFmtId="0" fontId="30" fillId="0" borderId="134" xfId="0" applyFont="1" applyFill="1" applyBorder="1" applyAlignment="1">
      <alignment horizontal="left" vertical="center" wrapText="1"/>
    </xf>
    <xf numFmtId="0" fontId="30" fillId="5" borderId="9" xfId="0" applyFont="1" applyFill="1" applyBorder="1" applyAlignment="1" applyProtection="1">
      <alignment horizontal="center" vertical="center"/>
      <protection locked="0"/>
    </xf>
    <xf numFmtId="0" fontId="30" fillId="5" borderId="10"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center"/>
      <protection locked="0"/>
    </xf>
    <xf numFmtId="0" fontId="30" fillId="5" borderId="7" xfId="0" applyFont="1" applyFill="1" applyBorder="1" applyAlignment="1" applyProtection="1">
      <alignment horizontal="center" vertical="center"/>
      <protection locked="0"/>
    </xf>
    <xf numFmtId="0" fontId="30" fillId="5" borderId="0" xfId="0" applyFont="1" applyFill="1" applyBorder="1" applyAlignment="1" applyProtection="1">
      <alignment horizontal="center" vertical="center"/>
      <protection locked="0"/>
    </xf>
    <xf numFmtId="0" fontId="30" fillId="5" borderId="8" xfId="0" applyFont="1" applyFill="1" applyBorder="1" applyAlignment="1" applyProtection="1">
      <alignment horizontal="center" vertical="center"/>
      <protection locked="0"/>
    </xf>
    <xf numFmtId="0" fontId="30" fillId="5" borderId="32" xfId="0" applyFont="1" applyFill="1" applyBorder="1" applyAlignment="1" applyProtection="1">
      <alignment horizontal="center" vertical="center"/>
      <protection locked="0"/>
    </xf>
    <xf numFmtId="0" fontId="30" fillId="5" borderId="33" xfId="0" applyFont="1" applyFill="1" applyBorder="1" applyAlignment="1" applyProtection="1">
      <alignment horizontal="center" vertical="center"/>
      <protection locked="0"/>
    </xf>
    <xf numFmtId="0" fontId="30" fillId="5" borderId="34" xfId="0" applyFont="1" applyFill="1" applyBorder="1" applyAlignment="1" applyProtection="1">
      <alignment horizontal="center" vertical="center"/>
      <protection locked="0"/>
    </xf>
    <xf numFmtId="0" fontId="30" fillId="5" borderId="9" xfId="0" applyFont="1" applyFill="1" applyBorder="1" applyAlignment="1" applyProtection="1">
      <alignment horizontal="center" vertical="center" wrapText="1"/>
      <protection locked="0"/>
    </xf>
    <xf numFmtId="0" fontId="30" fillId="5" borderId="10" xfId="0" applyFont="1" applyFill="1" applyBorder="1" applyAlignment="1" applyProtection="1">
      <alignment horizontal="center" vertical="center" wrapText="1"/>
      <protection locked="0"/>
    </xf>
    <xf numFmtId="0" fontId="30" fillId="5" borderId="11" xfId="0" applyFont="1" applyFill="1" applyBorder="1" applyAlignment="1" applyProtection="1">
      <alignment horizontal="center" vertical="center" wrapText="1"/>
      <protection locked="0"/>
    </xf>
    <xf numFmtId="0" fontId="30" fillId="5" borderId="7" xfId="0" applyFont="1" applyFill="1" applyBorder="1" applyAlignment="1" applyProtection="1">
      <alignment horizontal="center" vertical="center" wrapText="1"/>
      <protection locked="0"/>
    </xf>
    <xf numFmtId="0" fontId="30" fillId="5" borderId="0" xfId="0" applyFont="1" applyFill="1" applyBorder="1" applyAlignment="1" applyProtection="1">
      <alignment horizontal="center" vertical="center" wrapText="1"/>
      <protection locked="0"/>
    </xf>
    <xf numFmtId="0" fontId="30" fillId="5" borderId="8" xfId="0" applyFont="1" applyFill="1" applyBorder="1" applyAlignment="1" applyProtection="1">
      <alignment horizontal="center" vertical="center" wrapText="1"/>
      <protection locked="0"/>
    </xf>
    <xf numFmtId="0" fontId="30" fillId="5" borderId="32" xfId="0" applyFont="1" applyFill="1" applyBorder="1" applyAlignment="1" applyProtection="1">
      <alignment horizontal="center" vertical="center" wrapText="1"/>
      <protection locked="0"/>
    </xf>
    <xf numFmtId="0" fontId="30" fillId="5" borderId="33" xfId="0" applyFont="1" applyFill="1" applyBorder="1" applyAlignment="1" applyProtection="1">
      <alignment horizontal="center" vertical="center" wrapText="1"/>
      <protection locked="0"/>
    </xf>
    <xf numFmtId="0" fontId="30" fillId="5" borderId="34" xfId="0" applyFont="1" applyFill="1" applyBorder="1" applyAlignment="1" applyProtection="1">
      <alignment horizontal="center" vertical="center" wrapText="1"/>
      <protection locked="0"/>
    </xf>
    <xf numFmtId="0" fontId="30" fillId="5" borderId="9" xfId="0" applyFont="1" applyFill="1" applyBorder="1" applyAlignment="1" applyProtection="1">
      <alignment horizontal="left" vertical="center" wrapText="1"/>
      <protection locked="0"/>
    </xf>
    <xf numFmtId="0" fontId="30" fillId="5" borderId="10" xfId="0" applyFont="1" applyFill="1" applyBorder="1" applyAlignment="1" applyProtection="1">
      <alignment horizontal="left" vertical="center" wrapText="1"/>
      <protection locked="0"/>
    </xf>
    <xf numFmtId="0" fontId="30" fillId="5" borderId="11" xfId="0" applyFont="1" applyFill="1" applyBorder="1" applyAlignment="1" applyProtection="1">
      <alignment horizontal="left" vertical="center" wrapText="1"/>
      <protection locked="0"/>
    </xf>
    <xf numFmtId="0" fontId="30" fillId="5" borderId="7" xfId="0" applyFont="1" applyFill="1" applyBorder="1" applyAlignment="1" applyProtection="1">
      <alignment horizontal="left" vertical="center" wrapText="1"/>
      <protection locked="0"/>
    </xf>
    <xf numFmtId="0" fontId="30" fillId="5" borderId="0" xfId="0" applyFont="1" applyFill="1" applyBorder="1" applyAlignment="1" applyProtection="1">
      <alignment horizontal="left" vertical="center" wrapText="1"/>
      <protection locked="0"/>
    </xf>
    <xf numFmtId="0" fontId="30" fillId="5" borderId="8" xfId="0" applyFont="1" applyFill="1" applyBorder="1" applyAlignment="1" applyProtection="1">
      <alignment horizontal="left" vertical="center" wrapText="1"/>
      <protection locked="0"/>
    </xf>
    <xf numFmtId="0" fontId="30" fillId="5" borderId="32" xfId="0" applyFont="1" applyFill="1" applyBorder="1" applyAlignment="1" applyProtection="1">
      <alignment horizontal="left" vertical="center" wrapText="1"/>
      <protection locked="0"/>
    </xf>
    <xf numFmtId="0" fontId="30" fillId="5" borderId="33" xfId="0" applyFont="1" applyFill="1" applyBorder="1" applyAlignment="1" applyProtection="1">
      <alignment horizontal="left" vertical="center" wrapText="1"/>
      <protection locked="0"/>
    </xf>
    <xf numFmtId="0" fontId="30" fillId="5" borderId="34" xfId="0" applyFont="1" applyFill="1" applyBorder="1" applyAlignment="1" applyProtection="1">
      <alignment horizontal="left" vertical="center" wrapText="1"/>
      <protection locked="0"/>
    </xf>
    <xf numFmtId="0" fontId="4" fillId="25" borderId="5" xfId="0" applyFont="1" applyFill="1" applyBorder="1" applyAlignment="1">
      <alignment horizontal="left" vertical="center" wrapText="1"/>
    </xf>
    <xf numFmtId="0" fontId="4" fillId="25" borderId="40" xfId="0" applyFont="1" applyFill="1" applyBorder="1" applyAlignment="1">
      <alignment horizontal="left" vertical="center" wrapText="1"/>
    </xf>
    <xf numFmtId="0" fontId="4" fillId="25" borderId="6" xfId="0" applyFont="1" applyFill="1" applyBorder="1" applyAlignment="1">
      <alignment horizontal="left" vertical="center" wrapText="1"/>
    </xf>
    <xf numFmtId="0" fontId="4" fillId="25" borderId="5" xfId="0" applyFont="1" applyFill="1" applyBorder="1" applyAlignment="1">
      <alignment horizontal="left" vertical="top" wrapText="1"/>
    </xf>
    <xf numFmtId="0" fontId="4" fillId="25" borderId="40" xfId="0" applyFont="1" applyFill="1" applyBorder="1" applyAlignment="1">
      <alignment horizontal="left" vertical="top" wrapText="1"/>
    </xf>
    <xf numFmtId="0" fontId="4" fillId="25" borderId="6" xfId="0" applyFont="1" applyFill="1" applyBorder="1" applyAlignment="1">
      <alignment horizontal="left" vertical="top" wrapText="1"/>
    </xf>
    <xf numFmtId="0" fontId="15" fillId="8" borderId="7" xfId="0" applyFont="1" applyFill="1" applyBorder="1" applyAlignment="1">
      <alignment horizontal="right" vertical="center"/>
    </xf>
    <xf numFmtId="0" fontId="15" fillId="8" borderId="0" xfId="0" applyFont="1" applyFill="1" applyBorder="1" applyAlignment="1">
      <alignment horizontal="right" vertical="center"/>
    </xf>
    <xf numFmtId="0" fontId="4" fillId="25" borderId="5" xfId="0" applyFont="1" applyFill="1" applyBorder="1" applyAlignment="1">
      <alignment horizontal="left"/>
    </xf>
    <xf numFmtId="0" fontId="4" fillId="25" borderId="40" xfId="0" applyFont="1" applyFill="1" applyBorder="1" applyAlignment="1">
      <alignment horizontal="left"/>
    </xf>
    <xf numFmtId="0" fontId="4" fillId="25" borderId="6" xfId="0" applyFont="1" applyFill="1" applyBorder="1" applyAlignment="1">
      <alignment horizontal="left"/>
    </xf>
    <xf numFmtId="49" fontId="3" fillId="5" borderId="28" xfId="0" applyNumberFormat="1" applyFont="1" applyFill="1" applyBorder="1" applyAlignment="1" applyProtection="1">
      <alignment horizontal="center"/>
      <protection locked="0"/>
    </xf>
    <xf numFmtId="49" fontId="3" fillId="5" borderId="39" xfId="0" applyNumberFormat="1" applyFont="1" applyFill="1" applyBorder="1" applyAlignment="1" applyProtection="1">
      <alignment horizontal="center"/>
      <protection locked="0"/>
    </xf>
    <xf numFmtId="49" fontId="3" fillId="5" borderId="38" xfId="0" applyNumberFormat="1" applyFont="1" applyFill="1" applyBorder="1" applyAlignment="1" applyProtection="1">
      <alignment horizontal="center"/>
      <protection locked="0"/>
    </xf>
    <xf numFmtId="49" fontId="3" fillId="5" borderId="61" xfId="0" applyNumberFormat="1" applyFont="1" applyFill="1" applyBorder="1" applyAlignment="1" applyProtection="1">
      <alignment horizontal="center"/>
      <protection locked="0"/>
    </xf>
    <xf numFmtId="0" fontId="4" fillId="25" borderId="5" xfId="0" applyNumberFormat="1" applyFont="1" applyFill="1" applyBorder="1" applyAlignment="1">
      <alignment horizontal="left"/>
    </xf>
    <xf numFmtId="0" fontId="4" fillId="25" borderId="40" xfId="0" applyNumberFormat="1" applyFont="1" applyFill="1" applyBorder="1" applyAlignment="1">
      <alignment horizontal="left"/>
    </xf>
    <xf numFmtId="0" fontId="4" fillId="25" borderId="6" xfId="0" applyNumberFormat="1" applyFont="1" applyFill="1" applyBorder="1" applyAlignment="1">
      <alignment horizontal="left"/>
    </xf>
    <xf numFmtId="0" fontId="4" fillId="0" borderId="25" xfId="0" applyNumberFormat="1" applyFont="1" applyBorder="1" applyAlignment="1">
      <alignment horizontal="center"/>
    </xf>
    <xf numFmtId="0" fontId="4" fillId="0" borderId="4" xfId="0" applyNumberFormat="1" applyFont="1" applyBorder="1" applyAlignment="1">
      <alignment horizontal="center"/>
    </xf>
    <xf numFmtId="0" fontId="38" fillId="0" borderId="1"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xf>
    <xf numFmtId="0" fontId="23" fillId="0" borderId="0" xfId="11" applyNumberFormat="1" applyFont="1" applyAlignment="1" applyProtection="1">
      <alignment horizontal="center"/>
    </xf>
    <xf numFmtId="0" fontId="3" fillId="5" borderId="1" xfId="0" applyNumberFormat="1" applyFont="1" applyFill="1" applyBorder="1" applyAlignment="1" applyProtection="1">
      <alignment horizontal="center"/>
      <protection locked="0"/>
    </xf>
    <xf numFmtId="0" fontId="3" fillId="5" borderId="14" xfId="0" applyNumberFormat="1" applyFont="1" applyFill="1" applyBorder="1" applyAlignment="1" applyProtection="1">
      <alignment horizontal="center"/>
      <protection locked="0"/>
    </xf>
    <xf numFmtId="0" fontId="29" fillId="20" borderId="28" xfId="0" applyNumberFormat="1" applyFont="1" applyFill="1" applyBorder="1" applyAlignment="1">
      <alignment horizontal="center"/>
    </xf>
    <xf numFmtId="0" fontId="29" fillId="20" borderId="52" xfId="0" applyNumberFormat="1" applyFont="1" applyFill="1" applyBorder="1" applyAlignment="1">
      <alignment horizontal="center"/>
    </xf>
    <xf numFmtId="0" fontId="29" fillId="20" borderId="39" xfId="0" applyNumberFormat="1" applyFont="1" applyFill="1" applyBorder="1" applyAlignment="1">
      <alignment horizontal="center"/>
    </xf>
    <xf numFmtId="0" fontId="11" fillId="25" borderId="5" xfId="0" applyNumberFormat="1" applyFont="1" applyFill="1" applyBorder="1" applyAlignment="1">
      <alignment horizontal="left"/>
    </xf>
    <xf numFmtId="0" fontId="11" fillId="25" borderId="40" xfId="0" applyNumberFormat="1" applyFont="1" applyFill="1" applyBorder="1" applyAlignment="1">
      <alignment horizontal="left"/>
    </xf>
    <xf numFmtId="0" fontId="11" fillId="25" borderId="6" xfId="0" applyNumberFormat="1" applyFont="1" applyFill="1" applyBorder="1" applyAlignment="1">
      <alignment horizontal="left"/>
    </xf>
    <xf numFmtId="0" fontId="3" fillId="5" borderId="28" xfId="0" applyNumberFormat="1" applyFont="1" applyFill="1" applyBorder="1" applyAlignment="1" applyProtection="1">
      <alignment horizontal="center"/>
      <protection locked="0"/>
    </xf>
    <xf numFmtId="0" fontId="3" fillId="5" borderId="52" xfId="0" applyNumberFormat="1" applyFont="1" applyFill="1" applyBorder="1" applyAlignment="1" applyProtection="1">
      <alignment horizontal="center"/>
      <protection locked="0"/>
    </xf>
    <xf numFmtId="0" fontId="3" fillId="5" borderId="39" xfId="0" applyNumberFormat="1" applyFont="1" applyFill="1" applyBorder="1" applyAlignment="1" applyProtection="1">
      <alignment horizontal="center"/>
      <protection locked="0"/>
    </xf>
    <xf numFmtId="0" fontId="5" fillId="20" borderId="1" xfId="0" applyNumberFormat="1" applyFont="1" applyFill="1" applyBorder="1" applyAlignment="1" applyProtection="1">
      <alignment horizontal="center"/>
    </xf>
    <xf numFmtId="0" fontId="5" fillId="20" borderId="14" xfId="0" applyNumberFormat="1" applyFont="1" applyFill="1" applyBorder="1" applyAlignment="1" applyProtection="1">
      <alignment horizontal="center"/>
    </xf>
    <xf numFmtId="0" fontId="5" fillId="20" borderId="57" xfId="0" applyNumberFormat="1" applyFont="1" applyFill="1" applyBorder="1" applyAlignment="1" applyProtection="1">
      <alignment horizontal="center"/>
    </xf>
    <xf numFmtId="0" fontId="5" fillId="20" borderId="15" xfId="0" applyNumberFormat="1" applyFont="1" applyFill="1" applyBorder="1" applyAlignment="1" applyProtection="1">
      <alignment horizontal="center"/>
    </xf>
    <xf numFmtId="0" fontId="29" fillId="20" borderId="38" xfId="0" applyNumberFormat="1" applyFont="1" applyFill="1" applyBorder="1" applyAlignment="1">
      <alignment horizontal="center"/>
    </xf>
    <xf numFmtId="0" fontId="29" fillId="20" borderId="103" xfId="0" applyNumberFormat="1" applyFont="1" applyFill="1" applyBorder="1" applyAlignment="1">
      <alignment horizontal="center"/>
    </xf>
    <xf numFmtId="0" fontId="29" fillId="20" borderId="61" xfId="0" applyNumberFormat="1" applyFont="1" applyFill="1" applyBorder="1" applyAlignment="1">
      <alignment horizontal="center"/>
    </xf>
    <xf numFmtId="0" fontId="11" fillId="25" borderId="5" xfId="0" quotePrefix="1" applyNumberFormat="1" applyFont="1" applyFill="1" applyBorder="1" applyAlignment="1">
      <alignment horizontal="left"/>
    </xf>
    <xf numFmtId="0" fontId="11" fillId="25" borderId="40" xfId="0" quotePrefix="1" applyNumberFormat="1" applyFont="1" applyFill="1" applyBorder="1" applyAlignment="1">
      <alignment horizontal="left"/>
    </xf>
    <xf numFmtId="0" fontId="11" fillId="25" borderId="6" xfId="0" quotePrefix="1" applyNumberFormat="1" applyFont="1" applyFill="1" applyBorder="1" applyAlignment="1">
      <alignment horizontal="left"/>
    </xf>
    <xf numFmtId="0" fontId="10" fillId="25" borderId="5" xfId="10" applyFont="1" applyFill="1" applyBorder="1" applyAlignment="1">
      <alignment horizontal="left" vertical="center"/>
    </xf>
    <xf numFmtId="0" fontId="10" fillId="25" borderId="6" xfId="10" applyFont="1" applyFill="1" applyBorder="1" applyAlignment="1">
      <alignment horizontal="left" vertical="center"/>
    </xf>
    <xf numFmtId="0" fontId="9" fillId="5" borderId="1" xfId="0" applyNumberFormat="1" applyFont="1" applyFill="1" applyBorder="1" applyAlignment="1" applyProtection="1">
      <alignment horizontal="center"/>
      <protection locked="0"/>
    </xf>
    <xf numFmtId="0" fontId="9" fillId="5" borderId="14" xfId="0" applyNumberFormat="1" applyFont="1" applyFill="1" applyBorder="1" applyAlignment="1" applyProtection="1">
      <alignment horizontal="center"/>
      <protection locked="0"/>
    </xf>
    <xf numFmtId="0" fontId="5" fillId="9" borderId="1" xfId="0" applyNumberFormat="1" applyFont="1" applyFill="1" applyBorder="1" applyAlignment="1" applyProtection="1">
      <alignment horizontal="center"/>
    </xf>
    <xf numFmtId="0" fontId="5" fillId="9" borderId="14" xfId="0" applyNumberFormat="1" applyFont="1" applyFill="1" applyBorder="1" applyAlignment="1" applyProtection="1">
      <alignment horizontal="center"/>
    </xf>
    <xf numFmtId="0" fontId="4" fillId="0" borderId="46" xfId="0" applyNumberFormat="1" applyFont="1" applyBorder="1" applyAlignment="1">
      <alignment horizontal="center"/>
    </xf>
    <xf numFmtId="0" fontId="4" fillId="0" borderId="16" xfId="0" applyNumberFormat="1" applyFont="1" applyBorder="1" applyAlignment="1">
      <alignment horizontal="center"/>
    </xf>
    <xf numFmtId="0" fontId="5" fillId="9" borderId="57" xfId="0" applyNumberFormat="1" applyFont="1" applyFill="1" applyBorder="1" applyAlignment="1" applyProtection="1">
      <alignment horizontal="center"/>
    </xf>
    <xf numFmtId="0" fontId="5" fillId="9" borderId="15" xfId="0" applyNumberFormat="1" applyFont="1" applyFill="1" applyBorder="1" applyAlignment="1" applyProtection="1">
      <alignment horizontal="center"/>
    </xf>
    <xf numFmtId="0" fontId="11" fillId="25" borderId="9" xfId="0" applyNumberFormat="1" applyFont="1" applyFill="1" applyBorder="1" applyAlignment="1">
      <alignment horizontal="left"/>
    </xf>
    <xf numFmtId="0" fontId="11" fillId="25" borderId="10" xfId="0" applyNumberFormat="1" applyFont="1" applyFill="1" applyBorder="1" applyAlignment="1">
      <alignment horizontal="left"/>
    </xf>
    <xf numFmtId="0" fontId="11" fillId="25" borderId="11" xfId="0" applyNumberFormat="1" applyFont="1" applyFill="1" applyBorder="1" applyAlignment="1">
      <alignment horizontal="left"/>
    </xf>
    <xf numFmtId="0" fontId="4" fillId="0" borderId="96" xfId="0" applyNumberFormat="1" applyFont="1" applyBorder="1" applyAlignment="1">
      <alignment horizontal="center"/>
    </xf>
    <xf numFmtId="0" fontId="4" fillId="0" borderId="64" xfId="0" applyNumberFormat="1" applyFont="1" applyBorder="1" applyAlignment="1">
      <alignment horizontal="center"/>
    </xf>
    <xf numFmtId="0" fontId="4" fillId="0" borderId="97" xfId="0" applyNumberFormat="1" applyFont="1" applyBorder="1" applyAlignment="1">
      <alignment horizontal="center"/>
    </xf>
    <xf numFmtId="0" fontId="29" fillId="20" borderId="57" xfId="0" applyNumberFormat="1" applyFont="1" applyFill="1" applyBorder="1" applyAlignment="1" applyProtection="1">
      <alignment horizontal="center"/>
    </xf>
    <xf numFmtId="0" fontId="29" fillId="20" borderId="15" xfId="0" applyNumberFormat="1" applyFont="1" applyFill="1" applyBorder="1" applyAlignment="1" applyProtection="1">
      <alignment horizontal="center"/>
    </xf>
    <xf numFmtId="0" fontId="29" fillId="20" borderId="1" xfId="0" applyNumberFormat="1" applyFont="1" applyFill="1" applyBorder="1" applyAlignment="1" applyProtection="1">
      <alignment horizontal="center"/>
    </xf>
    <xf numFmtId="0" fontId="29" fillId="20" borderId="14" xfId="0" applyNumberFormat="1" applyFont="1" applyFill="1" applyBorder="1" applyAlignment="1" applyProtection="1">
      <alignment horizontal="center"/>
    </xf>
    <xf numFmtId="0" fontId="29" fillId="20" borderId="94" xfId="0" applyNumberFormat="1" applyFont="1" applyFill="1" applyBorder="1" applyAlignment="1" applyProtection="1">
      <alignment horizontal="center"/>
    </xf>
    <xf numFmtId="0" fontId="29" fillId="20" borderId="33" xfId="0" applyNumberFormat="1" applyFont="1" applyFill="1" applyBorder="1" applyAlignment="1" applyProtection="1">
      <alignment horizontal="center"/>
    </xf>
    <xf numFmtId="0" fontId="29" fillId="20" borderId="34" xfId="0" applyNumberFormat="1" applyFont="1" applyFill="1" applyBorder="1" applyAlignment="1" applyProtection="1">
      <alignment horizontal="center"/>
    </xf>
    <xf numFmtId="0" fontId="3" fillId="5" borderId="73" xfId="0" applyNumberFormat="1" applyFont="1" applyFill="1" applyBorder="1" applyAlignment="1" applyProtection="1">
      <alignment horizontal="center"/>
      <protection locked="0"/>
    </xf>
    <xf numFmtId="0" fontId="3" fillId="5" borderId="46" xfId="0" applyNumberFormat="1" applyFont="1" applyFill="1" applyBorder="1" applyAlignment="1" applyProtection="1">
      <alignment horizontal="center"/>
      <protection locked="0"/>
    </xf>
    <xf numFmtId="0" fontId="3" fillId="5" borderId="16" xfId="0" applyNumberFormat="1" applyFont="1" applyFill="1" applyBorder="1" applyAlignment="1" applyProtection="1">
      <alignment horizontal="center"/>
      <protection locked="0"/>
    </xf>
    <xf numFmtId="0" fontId="29" fillId="20" borderId="73" xfId="0" applyNumberFormat="1" applyFont="1" applyFill="1" applyBorder="1" applyAlignment="1" applyProtection="1">
      <alignment horizontal="center"/>
    </xf>
    <xf numFmtId="0" fontId="29" fillId="20" borderId="46" xfId="0" applyNumberFormat="1" applyFont="1" applyFill="1" applyBorder="1" applyAlignment="1" applyProtection="1">
      <alignment horizontal="center"/>
    </xf>
    <xf numFmtId="0" fontId="29" fillId="20" borderId="16" xfId="0" applyNumberFormat="1" applyFont="1" applyFill="1" applyBorder="1" applyAlignment="1" applyProtection="1">
      <alignment horizontal="center"/>
    </xf>
    <xf numFmtId="0" fontId="3" fillId="5" borderId="21" xfId="0" applyNumberFormat="1" applyFont="1" applyFill="1" applyBorder="1" applyAlignment="1" applyProtection="1">
      <alignment horizontal="center"/>
      <protection locked="0"/>
    </xf>
    <xf numFmtId="0" fontId="3" fillId="5" borderId="0" xfId="0" applyNumberFormat="1" applyFont="1" applyFill="1" applyBorder="1" applyAlignment="1" applyProtection="1">
      <alignment horizontal="center"/>
      <protection locked="0"/>
    </xf>
    <xf numFmtId="0" fontId="3" fillId="5" borderId="8" xfId="0" applyNumberFormat="1" applyFont="1" applyFill="1" applyBorder="1" applyAlignment="1" applyProtection="1">
      <alignment horizontal="center"/>
      <protection locked="0"/>
    </xf>
    <xf numFmtId="0" fontId="3" fillId="5" borderId="51" xfId="0" applyNumberFormat="1" applyFont="1" applyFill="1" applyBorder="1" applyAlignment="1" applyProtection="1">
      <alignment horizontal="center"/>
      <protection locked="0"/>
    </xf>
    <xf numFmtId="0" fontId="3" fillId="5" borderId="63" xfId="0" applyNumberFormat="1" applyFont="1" applyFill="1" applyBorder="1" applyAlignment="1" applyProtection="1">
      <alignment horizontal="center"/>
      <protection locked="0"/>
    </xf>
    <xf numFmtId="0" fontId="5" fillId="20" borderId="57" xfId="0" applyNumberFormat="1" applyFont="1" applyFill="1" applyBorder="1" applyAlignment="1" applyProtection="1">
      <alignment horizontal="center" wrapText="1"/>
    </xf>
    <xf numFmtId="0" fontId="5" fillId="20" borderId="15" xfId="0" applyNumberFormat="1" applyFont="1" applyFill="1" applyBorder="1" applyAlignment="1" applyProtection="1">
      <alignment horizontal="center" wrapText="1"/>
    </xf>
    <xf numFmtId="0" fontId="9" fillId="5" borderId="1" xfId="0" applyNumberFormat="1" applyFont="1" applyFill="1" applyBorder="1" applyAlignment="1" applyProtection="1">
      <alignment horizontal="center" wrapText="1"/>
      <protection locked="0"/>
    </xf>
    <xf numFmtId="0" fontId="9" fillId="5" borderId="14" xfId="0" applyNumberFormat="1" applyFont="1" applyFill="1" applyBorder="1" applyAlignment="1" applyProtection="1">
      <alignment horizontal="center" wrapText="1"/>
      <protection locked="0"/>
    </xf>
    <xf numFmtId="0" fontId="5" fillId="20" borderId="1" xfId="0" applyNumberFormat="1" applyFont="1" applyFill="1" applyBorder="1" applyAlignment="1" applyProtection="1">
      <alignment horizontal="center" wrapText="1"/>
    </xf>
    <xf numFmtId="0" fontId="5" fillId="20" borderId="14" xfId="0" applyNumberFormat="1" applyFont="1" applyFill="1" applyBorder="1" applyAlignment="1" applyProtection="1">
      <alignment horizontal="center" wrapText="1"/>
    </xf>
    <xf numFmtId="0" fontId="4" fillId="25" borderId="5" xfId="0" applyNumberFormat="1" applyFont="1" applyFill="1" applyBorder="1" applyAlignment="1">
      <alignment horizontal="left" wrapText="1"/>
    </xf>
    <xf numFmtId="0" fontId="4" fillId="25" borderId="40" xfId="0" applyNumberFormat="1" applyFont="1" applyFill="1" applyBorder="1" applyAlignment="1">
      <alignment horizontal="left" wrapText="1"/>
    </xf>
    <xf numFmtId="0" fontId="4" fillId="25" borderId="6" xfId="0" applyNumberFormat="1" applyFont="1" applyFill="1" applyBorder="1" applyAlignment="1">
      <alignment horizontal="left" wrapText="1"/>
    </xf>
    <xf numFmtId="0" fontId="10" fillId="16" borderId="5" xfId="10" applyFont="1" applyBorder="1" applyAlignment="1">
      <alignment horizontal="left" vertical="center" wrapText="1"/>
    </xf>
    <xf numFmtId="0" fontId="10" fillId="16" borderId="6" xfId="10" applyFont="1" applyBorder="1" applyAlignment="1">
      <alignment horizontal="left" vertical="center" wrapText="1"/>
    </xf>
    <xf numFmtId="0" fontId="5" fillId="5" borderId="1" xfId="2" applyNumberFormat="1" applyFont="1" applyFill="1" applyBorder="1" applyAlignment="1" applyProtection="1">
      <alignment horizontal="center"/>
      <protection locked="0"/>
    </xf>
    <xf numFmtId="0" fontId="5" fillId="5" borderId="14" xfId="2" applyNumberFormat="1" applyFont="1" applyFill="1" applyBorder="1" applyAlignment="1" applyProtection="1">
      <alignment horizontal="center"/>
      <protection locked="0"/>
    </xf>
    <xf numFmtId="0" fontId="5" fillId="9" borderId="1" xfId="2" applyNumberFormat="1" applyFont="1" applyFill="1" applyBorder="1" applyAlignment="1" applyProtection="1">
      <alignment horizontal="center"/>
    </xf>
    <xf numFmtId="0" fontId="5" fillId="9" borderId="14" xfId="2" applyNumberFormat="1" applyFont="1" applyFill="1" applyBorder="1" applyAlignment="1" applyProtection="1">
      <alignment horizontal="center"/>
    </xf>
    <xf numFmtId="0" fontId="5" fillId="9" borderId="57" xfId="2" applyNumberFormat="1" applyFont="1" applyFill="1" applyBorder="1" applyAlignment="1" applyProtection="1">
      <alignment horizontal="center"/>
    </xf>
    <xf numFmtId="0" fontId="5" fillId="9" borderId="15" xfId="2" applyNumberFormat="1" applyFont="1" applyFill="1" applyBorder="1" applyAlignment="1" applyProtection="1">
      <alignment horizontal="center"/>
    </xf>
    <xf numFmtId="0" fontId="43" fillId="0" borderId="0" xfId="11" applyFont="1" applyAlignment="1" applyProtection="1">
      <alignment horizontal="left"/>
      <protection locked="0"/>
    </xf>
    <xf numFmtId="0" fontId="50" fillId="25" borderId="5" xfId="0" applyFont="1" applyFill="1" applyBorder="1" applyAlignment="1" applyProtection="1">
      <alignment horizontal="left"/>
    </xf>
    <xf numFmtId="0" fontId="50" fillId="25" borderId="40" xfId="0" applyFont="1" applyFill="1" applyBorder="1" applyAlignment="1" applyProtection="1">
      <alignment horizontal="left"/>
    </xf>
    <xf numFmtId="0" fontId="50" fillId="25" borderId="6" xfId="0" applyFont="1" applyFill="1" applyBorder="1" applyAlignment="1" applyProtection="1">
      <alignment horizontal="left"/>
    </xf>
    <xf numFmtId="0" fontId="30" fillId="26" borderId="5" xfId="0" applyFont="1" applyFill="1" applyBorder="1" applyAlignment="1" applyProtection="1">
      <alignment horizontal="left" vertical="top" wrapText="1"/>
    </xf>
    <xf numFmtId="0" fontId="30" fillId="26" borderId="40" xfId="0" applyFont="1" applyFill="1" applyBorder="1" applyAlignment="1" applyProtection="1">
      <alignment horizontal="left" vertical="top" wrapText="1"/>
    </xf>
    <xf numFmtId="0" fontId="30" fillId="26" borderId="6" xfId="0" applyFont="1" applyFill="1" applyBorder="1" applyAlignment="1" applyProtection="1">
      <alignment horizontal="left" vertical="top" wrapText="1"/>
    </xf>
    <xf numFmtId="0" fontId="38" fillId="25" borderId="5" xfId="0" applyNumberFormat="1" applyFont="1" applyFill="1" applyBorder="1" applyAlignment="1" applyProtection="1">
      <alignment horizontal="center"/>
    </xf>
    <xf numFmtId="0" fontId="38" fillId="25" borderId="40" xfId="0" applyNumberFormat="1" applyFont="1" applyFill="1" applyBorder="1" applyAlignment="1" applyProtection="1">
      <alignment horizontal="center"/>
    </xf>
    <xf numFmtId="0" fontId="38" fillId="25" borderId="6" xfId="0" applyNumberFormat="1" applyFont="1" applyFill="1" applyBorder="1" applyAlignment="1" applyProtection="1">
      <alignment horizontal="center"/>
    </xf>
    <xf numFmtId="0" fontId="30" fillId="19" borderId="91" xfId="0" applyNumberFormat="1" applyFont="1" applyFill="1" applyBorder="1" applyAlignment="1" applyProtection="1">
      <alignment horizontal="center"/>
      <protection locked="0"/>
    </xf>
    <xf numFmtId="0" fontId="30" fillId="19" borderId="103" xfId="0" applyNumberFormat="1" applyFont="1" applyFill="1" applyBorder="1" applyAlignment="1" applyProtection="1">
      <alignment horizontal="center"/>
      <protection locked="0"/>
    </xf>
    <xf numFmtId="0" fontId="30" fillId="19" borderId="61" xfId="0" applyNumberFormat="1" applyFont="1" applyFill="1" applyBorder="1" applyAlignment="1" applyProtection="1">
      <alignment horizontal="center"/>
      <protection locked="0"/>
    </xf>
    <xf numFmtId="0" fontId="38" fillId="0" borderId="3" xfId="0" applyNumberFormat="1" applyFont="1" applyBorder="1" applyAlignment="1" applyProtection="1">
      <alignment horizontal="center"/>
    </xf>
    <xf numFmtId="0" fontId="38" fillId="0" borderId="25" xfId="0" applyNumberFormat="1" applyFont="1" applyBorder="1" applyAlignment="1" applyProtection="1">
      <alignment horizontal="center"/>
    </xf>
    <xf numFmtId="0" fontId="38" fillId="0" borderId="4" xfId="0" applyNumberFormat="1" applyFont="1" applyBorder="1" applyAlignment="1" applyProtection="1">
      <alignment horizontal="center"/>
    </xf>
    <xf numFmtId="0" fontId="38" fillId="0" borderId="3" xfId="0" applyNumberFormat="1" applyFont="1" applyFill="1" applyBorder="1" applyAlignment="1" applyProtection="1">
      <alignment horizontal="center"/>
    </xf>
    <xf numFmtId="0" fontId="38" fillId="0" borderId="25" xfId="0" applyNumberFormat="1" applyFont="1" applyFill="1" applyBorder="1" applyAlignment="1" applyProtection="1">
      <alignment horizontal="center"/>
    </xf>
    <xf numFmtId="0" fontId="38" fillId="0" borderId="4" xfId="0" applyNumberFormat="1" applyFont="1" applyFill="1" applyBorder="1" applyAlignment="1" applyProtection="1">
      <alignment horizontal="center"/>
    </xf>
    <xf numFmtId="0" fontId="29" fillId="20" borderId="12" xfId="0" applyNumberFormat="1" applyFont="1" applyFill="1" applyBorder="1" applyAlignment="1" applyProtection="1">
      <alignment horizontal="center"/>
    </xf>
    <xf numFmtId="0" fontId="30" fillId="19" borderId="12" xfId="0" applyNumberFormat="1" applyFont="1" applyFill="1" applyBorder="1" applyAlignment="1" applyProtection="1">
      <alignment horizontal="center"/>
      <protection locked="0"/>
    </xf>
    <xf numFmtId="0" fontId="30" fillId="19" borderId="1" xfId="0" applyNumberFormat="1" applyFont="1" applyFill="1" applyBorder="1" applyAlignment="1" applyProtection="1">
      <alignment horizontal="center"/>
      <protection locked="0"/>
    </xf>
    <xf numFmtId="0" fontId="30" fillId="19" borderId="14" xfId="0" applyNumberFormat="1" applyFont="1" applyFill="1" applyBorder="1" applyAlignment="1" applyProtection="1">
      <alignment horizontal="center"/>
      <protection locked="0"/>
    </xf>
    <xf numFmtId="0" fontId="29" fillId="20" borderId="13" xfId="0" applyNumberFormat="1" applyFont="1" applyFill="1" applyBorder="1" applyAlignment="1" applyProtection="1">
      <alignment horizontal="center"/>
    </xf>
    <xf numFmtId="0" fontId="30" fillId="19" borderId="38" xfId="0" applyNumberFormat="1" applyFont="1" applyFill="1" applyBorder="1" applyAlignment="1" applyProtection="1">
      <alignment horizontal="center"/>
      <protection locked="0"/>
    </xf>
    <xf numFmtId="0" fontId="30" fillId="19" borderId="20" xfId="0" applyNumberFormat="1" applyFont="1" applyFill="1" applyBorder="1" applyAlignment="1" applyProtection="1">
      <alignment horizontal="center"/>
      <protection locked="0"/>
    </xf>
    <xf numFmtId="0" fontId="30" fillId="19" borderId="52" xfId="0" applyNumberFormat="1" applyFont="1" applyFill="1" applyBorder="1" applyAlignment="1" applyProtection="1">
      <alignment horizontal="center"/>
      <protection locked="0"/>
    </xf>
    <xf numFmtId="0" fontId="30" fillId="19" borderId="39" xfId="0" applyNumberFormat="1" applyFont="1" applyFill="1" applyBorder="1" applyAlignment="1" applyProtection="1">
      <alignment horizontal="center"/>
      <protection locked="0"/>
    </xf>
    <xf numFmtId="0" fontId="29" fillId="20" borderId="20" xfId="0" applyNumberFormat="1" applyFont="1" applyFill="1" applyBorder="1" applyAlignment="1" applyProtection="1">
      <alignment horizontal="center"/>
    </xf>
    <xf numFmtId="0" fontId="29" fillId="20" borderId="52" xfId="0" applyNumberFormat="1" applyFont="1" applyFill="1" applyBorder="1" applyAlignment="1" applyProtection="1">
      <alignment horizontal="center"/>
    </xf>
    <xf numFmtId="0" fontId="29" fillId="20" borderId="39" xfId="0" applyNumberFormat="1" applyFont="1" applyFill="1" applyBorder="1" applyAlignment="1" applyProtection="1">
      <alignment horizontal="center"/>
    </xf>
    <xf numFmtId="0" fontId="29" fillId="20" borderId="91" xfId="0" applyNumberFormat="1" applyFont="1" applyFill="1" applyBorder="1" applyAlignment="1" applyProtection="1">
      <alignment horizontal="center"/>
    </xf>
    <xf numFmtId="0" fontId="29" fillId="20" borderId="103" xfId="0" applyNumberFormat="1" applyFont="1" applyFill="1" applyBorder="1" applyAlignment="1" applyProtection="1">
      <alignment horizontal="center"/>
    </xf>
    <xf numFmtId="0" fontId="29" fillId="20" borderId="61" xfId="0" applyNumberFormat="1" applyFont="1" applyFill="1" applyBorder="1" applyAlignment="1" applyProtection="1">
      <alignment horizontal="center"/>
    </xf>
    <xf numFmtId="0" fontId="38" fillId="0" borderId="80" xfId="0" applyFont="1" applyFill="1" applyBorder="1" applyAlignment="1" applyProtection="1">
      <alignment horizontal="center" vertical="center" wrapText="1"/>
    </xf>
    <xf numFmtId="0" fontId="30" fillId="19" borderId="150" xfId="0" applyNumberFormat="1" applyFont="1" applyFill="1" applyBorder="1" applyAlignment="1" applyProtection="1">
      <alignment horizontal="center"/>
      <protection locked="0"/>
    </xf>
    <xf numFmtId="0" fontId="30" fillId="19" borderId="58" xfId="0" applyNumberFormat="1" applyFont="1" applyFill="1" applyBorder="1" applyAlignment="1" applyProtection="1">
      <alignment horizontal="center"/>
      <protection locked="0"/>
    </xf>
    <xf numFmtId="0" fontId="49" fillId="0" borderId="0" xfId="11" applyFont="1" applyAlignment="1" applyProtection="1">
      <alignment horizontal="left"/>
      <protection locked="0"/>
    </xf>
    <xf numFmtId="0" fontId="30" fillId="26" borderId="5" xfId="0" applyNumberFormat="1" applyFont="1" applyFill="1" applyBorder="1" applyAlignment="1" applyProtection="1">
      <alignment horizontal="left" vertical="top" wrapText="1"/>
    </xf>
    <xf numFmtId="0" fontId="30" fillId="26" borderId="40" xfId="0" applyNumberFormat="1" applyFont="1" applyFill="1" applyBorder="1" applyAlignment="1" applyProtection="1">
      <alignment horizontal="left" vertical="top" wrapText="1"/>
    </xf>
    <xf numFmtId="0" fontId="30" fillId="26" borderId="6" xfId="0" applyNumberFormat="1" applyFont="1" applyFill="1" applyBorder="1" applyAlignment="1" applyProtection="1">
      <alignment horizontal="left" vertical="top" wrapText="1"/>
    </xf>
    <xf numFmtId="0" fontId="38" fillId="25" borderId="9" xfId="0" applyNumberFormat="1" applyFont="1" applyFill="1" applyBorder="1" applyAlignment="1" applyProtection="1">
      <alignment horizontal="left"/>
    </xf>
    <xf numFmtId="0" fontId="38" fillId="25" borderId="10" xfId="0" applyNumberFormat="1" applyFont="1" applyFill="1" applyBorder="1" applyAlignment="1" applyProtection="1">
      <alignment horizontal="left"/>
    </xf>
    <xf numFmtId="0" fontId="38" fillId="25" borderId="11" xfId="0" applyNumberFormat="1" applyFont="1" applyFill="1" applyBorder="1" applyAlignment="1" applyProtection="1">
      <alignment horizontal="left"/>
    </xf>
    <xf numFmtId="0" fontId="4" fillId="4" borderId="5" xfId="0" applyNumberFormat="1" applyFont="1" applyFill="1" applyBorder="1" applyAlignment="1">
      <alignment horizontal="left"/>
    </xf>
    <xf numFmtId="0" fontId="4" fillId="4" borderId="40" xfId="0" applyNumberFormat="1" applyFont="1" applyFill="1" applyBorder="1" applyAlignment="1">
      <alignment horizontal="left"/>
    </xf>
    <xf numFmtId="0" fontId="4" fillId="4" borderId="6" xfId="0" applyNumberFormat="1" applyFont="1" applyFill="1" applyBorder="1" applyAlignment="1">
      <alignment horizontal="left"/>
    </xf>
    <xf numFmtId="0" fontId="15" fillId="19" borderId="1" xfId="0" applyNumberFormat="1" applyFont="1" applyFill="1" applyBorder="1" applyAlignment="1" applyProtection="1">
      <alignment horizontal="center" wrapText="1"/>
      <protection locked="0"/>
    </xf>
    <xf numFmtId="0" fontId="11" fillId="7" borderId="100" xfId="0" applyNumberFormat="1" applyFont="1" applyFill="1" applyBorder="1" applyAlignment="1">
      <alignment horizontal="center"/>
    </xf>
    <xf numFmtId="0" fontId="11" fillId="7" borderId="25" xfId="0" applyNumberFormat="1" applyFont="1" applyFill="1" applyBorder="1" applyAlignment="1">
      <alignment horizontal="center"/>
    </xf>
    <xf numFmtId="0" fontId="11" fillId="7" borderId="4" xfId="0" applyNumberFormat="1" applyFont="1" applyFill="1" applyBorder="1" applyAlignment="1">
      <alignment horizontal="center"/>
    </xf>
    <xf numFmtId="0" fontId="18" fillId="4" borderId="5" xfId="0" applyNumberFormat="1" applyFont="1" applyFill="1" applyBorder="1" applyAlignment="1">
      <alignment horizontal="left" wrapText="1"/>
    </xf>
    <xf numFmtId="0" fontId="18" fillId="4" borderId="40" xfId="0" applyNumberFormat="1" applyFont="1" applyFill="1" applyBorder="1" applyAlignment="1">
      <alignment horizontal="left" wrapText="1"/>
    </xf>
    <xf numFmtId="0" fontId="18" fillId="4" borderId="6" xfId="0" applyNumberFormat="1" applyFont="1" applyFill="1" applyBorder="1" applyAlignment="1">
      <alignment horizontal="left" wrapText="1"/>
    </xf>
    <xf numFmtId="0" fontId="15" fillId="0" borderId="80" xfId="0" applyNumberFormat="1" applyFont="1" applyBorder="1" applyAlignment="1">
      <alignment horizontal="left" wrapText="1"/>
    </xf>
    <xf numFmtId="0" fontId="15" fillId="0" borderId="51" xfId="0" applyNumberFormat="1" applyFont="1" applyBorder="1" applyAlignment="1">
      <alignment horizontal="left" wrapText="1"/>
    </xf>
    <xf numFmtId="0" fontId="15" fillId="5" borderId="80" xfId="2" applyNumberFormat="1" applyFont="1" applyFill="1" applyBorder="1" applyAlignment="1" applyProtection="1">
      <alignment horizontal="center" vertical="center" wrapText="1"/>
      <protection locked="0"/>
    </xf>
    <xf numFmtId="0" fontId="15" fillId="5" borderId="51" xfId="2" applyNumberFormat="1" applyFont="1" applyFill="1" applyBorder="1" applyAlignment="1" applyProtection="1">
      <alignment horizontal="center" vertical="center" wrapText="1"/>
      <protection locked="0"/>
    </xf>
    <xf numFmtId="0" fontId="15" fillId="0" borderId="1" xfId="0" applyNumberFormat="1" applyFont="1" applyBorder="1" applyAlignment="1">
      <alignment horizontal="left" vertical="center" wrapText="1"/>
    </xf>
    <xf numFmtId="0" fontId="15" fillId="0" borderId="28" xfId="0" applyNumberFormat="1" applyFont="1" applyBorder="1" applyAlignment="1">
      <alignment horizontal="left" vertical="center" wrapText="1"/>
    </xf>
    <xf numFmtId="0" fontId="15" fillId="7" borderId="74" xfId="0" applyNumberFormat="1" applyFont="1" applyFill="1" applyBorder="1" applyAlignment="1">
      <alignment horizontal="left" vertical="center" wrapText="1"/>
    </xf>
    <xf numFmtId="0" fontId="15" fillId="7" borderId="101" xfId="0" applyNumberFormat="1" applyFont="1" applyFill="1" applyBorder="1" applyAlignment="1">
      <alignment horizontal="left" vertical="center" wrapText="1"/>
    </xf>
    <xf numFmtId="0" fontId="15" fillId="7" borderId="75" xfId="0" applyNumberFormat="1" applyFont="1" applyFill="1" applyBorder="1" applyAlignment="1">
      <alignment horizontal="left" vertical="center" wrapText="1"/>
    </xf>
    <xf numFmtId="0" fontId="15" fillId="7" borderId="41" xfId="0" applyNumberFormat="1" applyFont="1" applyFill="1" applyBorder="1" applyAlignment="1">
      <alignment horizontal="left" vertical="center" wrapText="1"/>
    </xf>
    <xf numFmtId="0" fontId="15" fillId="5" borderId="102" xfId="2" applyNumberFormat="1" applyFont="1" applyFill="1" applyBorder="1" applyAlignment="1" applyProtection="1">
      <alignment horizontal="center" vertical="center" wrapText="1"/>
      <protection locked="0"/>
    </xf>
    <xf numFmtId="0" fontId="15" fillId="5" borderId="24" xfId="2" applyNumberFormat="1" applyFont="1" applyFill="1" applyBorder="1" applyAlignment="1" applyProtection="1">
      <alignment horizontal="center" vertical="center" wrapText="1"/>
      <protection locked="0"/>
    </xf>
    <xf numFmtId="0" fontId="18" fillId="16" borderId="5" xfId="10" applyNumberFormat="1" applyFont="1" applyBorder="1" applyAlignment="1">
      <alignment horizontal="left" vertical="center"/>
    </xf>
    <xf numFmtId="0" fontId="18" fillId="16" borderId="40" xfId="10" applyNumberFormat="1" applyFont="1" applyBorder="1" applyAlignment="1">
      <alignment horizontal="left" vertical="center"/>
    </xf>
    <xf numFmtId="0" fontId="18" fillId="16" borderId="6" xfId="10" applyNumberFormat="1" applyFont="1" applyBorder="1" applyAlignment="1">
      <alignment horizontal="left" vertical="center"/>
    </xf>
    <xf numFmtId="0" fontId="11" fillId="4" borderId="5" xfId="0" applyNumberFormat="1" applyFont="1" applyFill="1" applyBorder="1" applyAlignment="1">
      <alignment horizontal="left" wrapText="1"/>
    </xf>
    <xf numFmtId="0" fontId="11" fillId="4" borderId="40" xfId="0" applyNumberFormat="1" applyFont="1" applyFill="1" applyBorder="1" applyAlignment="1">
      <alignment horizontal="left" wrapText="1"/>
    </xf>
    <xf numFmtId="0" fontId="11" fillId="4" borderId="6" xfId="0" applyNumberFormat="1" applyFont="1" applyFill="1" applyBorder="1" applyAlignment="1">
      <alignment horizontal="left" wrapText="1"/>
    </xf>
    <xf numFmtId="0" fontId="11" fillId="7" borderId="5" xfId="0" applyNumberFormat="1" applyFont="1" applyFill="1" applyBorder="1" applyAlignment="1">
      <alignment horizontal="center" wrapText="1"/>
    </xf>
    <xf numFmtId="0" fontId="11" fillId="7" borderId="40" xfId="0" applyNumberFormat="1" applyFont="1" applyFill="1" applyBorder="1" applyAlignment="1">
      <alignment horizontal="center" wrapText="1"/>
    </xf>
    <xf numFmtId="0" fontId="11" fillId="7" borderId="6" xfId="0" applyNumberFormat="1" applyFont="1" applyFill="1" applyBorder="1" applyAlignment="1">
      <alignment horizontal="center" wrapText="1"/>
    </xf>
    <xf numFmtId="0" fontId="11" fillId="7" borderId="98" xfId="0" applyNumberFormat="1" applyFont="1" applyFill="1" applyBorder="1" applyAlignment="1">
      <alignment horizontal="center" vertical="center" wrapText="1"/>
    </xf>
    <xf numFmtId="0" fontId="11" fillId="7" borderId="10" xfId="0" applyNumberFormat="1" applyFont="1" applyFill="1" applyBorder="1" applyAlignment="1">
      <alignment horizontal="center" vertical="center" wrapText="1"/>
    </xf>
    <xf numFmtId="0" fontId="11" fillId="7" borderId="99" xfId="0" applyNumberFormat="1" applyFont="1" applyFill="1" applyBorder="1" applyAlignment="1">
      <alignment horizontal="center" vertical="center" wrapText="1"/>
    </xf>
    <xf numFmtId="0" fontId="11" fillId="7" borderId="73" xfId="0" applyNumberFormat="1" applyFont="1" applyFill="1" applyBorder="1" applyAlignment="1">
      <alignment horizontal="center" vertical="center" wrapText="1"/>
    </xf>
    <xf numFmtId="0" fontId="11" fillId="7" borderId="46" xfId="0" applyNumberFormat="1" applyFont="1" applyFill="1" applyBorder="1" applyAlignment="1">
      <alignment horizontal="center" vertical="center" wrapText="1"/>
    </xf>
    <xf numFmtId="0" fontId="11" fillId="7" borderId="79" xfId="0" applyNumberFormat="1" applyFont="1" applyFill="1" applyBorder="1" applyAlignment="1">
      <alignment horizontal="center" vertical="center" wrapText="1"/>
    </xf>
    <xf numFmtId="0" fontId="11" fillId="7" borderId="93" xfId="0" applyNumberFormat="1" applyFont="1" applyFill="1" applyBorder="1" applyAlignment="1">
      <alignment horizontal="center" vertical="center" wrapText="1"/>
    </xf>
    <xf numFmtId="0" fontId="11" fillId="7" borderId="77" xfId="0" applyNumberFormat="1" applyFont="1" applyFill="1" applyBorder="1" applyAlignment="1">
      <alignment horizontal="center" vertical="center" wrapText="1"/>
    </xf>
    <xf numFmtId="0" fontId="11" fillId="7" borderId="11" xfId="0" applyNumberFormat="1" applyFont="1" applyFill="1" applyBorder="1" applyAlignment="1">
      <alignment horizontal="center" vertical="center" wrapText="1"/>
    </xf>
    <xf numFmtId="0" fontId="11" fillId="7" borderId="21" xfId="0" applyNumberFormat="1" applyFont="1" applyFill="1" applyBorder="1" applyAlignment="1">
      <alignment horizontal="center" vertical="center" wrapText="1"/>
    </xf>
    <xf numFmtId="0" fontId="11" fillId="7" borderId="8" xfId="0" applyNumberFormat="1" applyFont="1" applyFill="1" applyBorder="1" applyAlignment="1">
      <alignment horizontal="center" vertical="center" wrapText="1"/>
    </xf>
    <xf numFmtId="0" fontId="10" fillId="16" borderId="5" xfId="10" applyFont="1" applyBorder="1" applyAlignment="1">
      <alignment horizontal="left" vertical="top"/>
    </xf>
    <xf numFmtId="0" fontId="10" fillId="16" borderId="40" xfId="10" applyFont="1" applyBorder="1" applyAlignment="1">
      <alignment horizontal="left" vertical="top"/>
    </xf>
    <xf numFmtId="0" fontId="10" fillId="16" borderId="6" xfId="10" applyFont="1" applyBorder="1" applyAlignment="1">
      <alignment horizontal="left" vertical="top"/>
    </xf>
    <xf numFmtId="0" fontId="3" fillId="0" borderId="20" xfId="0" applyFont="1" applyBorder="1" applyAlignment="1">
      <alignment horizontal="left"/>
    </xf>
    <xf numFmtId="0" fontId="3" fillId="0" borderId="52" xfId="0" applyFont="1" applyBorder="1" applyAlignment="1">
      <alignment horizontal="left"/>
    </xf>
    <xf numFmtId="0" fontId="3" fillId="0" borderId="91" xfId="0" applyFont="1" applyBorder="1" applyAlignment="1">
      <alignment horizontal="left"/>
    </xf>
    <xf numFmtId="0" fontId="3" fillId="0" borderId="103" xfId="0" applyFont="1" applyBorder="1" applyAlignment="1">
      <alignment horizontal="left"/>
    </xf>
    <xf numFmtId="0" fontId="9" fillId="8" borderId="104" xfId="10" applyFont="1" applyFill="1" applyBorder="1" applyAlignment="1" applyProtection="1">
      <alignment horizontal="left" vertical="center" wrapText="1"/>
    </xf>
    <xf numFmtId="0" fontId="9" fillId="8" borderId="51" xfId="10" applyFont="1" applyFill="1" applyBorder="1" applyAlignment="1" applyProtection="1">
      <alignment horizontal="left" vertical="center" wrapText="1"/>
    </xf>
    <xf numFmtId="0" fontId="9" fillId="8" borderId="63" xfId="10" applyFont="1" applyFill="1" applyBorder="1" applyAlignment="1" applyProtection="1">
      <alignment horizontal="left" vertical="center" wrapText="1"/>
    </xf>
    <xf numFmtId="0" fontId="9" fillId="8" borderId="12" xfId="10" applyFont="1" applyFill="1" applyBorder="1" applyAlignment="1" applyProtection="1">
      <alignment horizontal="left" vertical="center" wrapText="1"/>
    </xf>
    <xf numFmtId="0" fontId="9" fillId="8" borderId="1" xfId="10" applyFont="1" applyFill="1" applyBorder="1" applyAlignment="1" applyProtection="1">
      <alignment horizontal="left" vertical="center" wrapText="1"/>
    </xf>
    <xf numFmtId="0" fontId="9" fillId="8" borderId="14" xfId="10" applyFont="1" applyFill="1" applyBorder="1" applyAlignment="1" applyProtection="1">
      <alignment horizontal="left" vertical="center" wrapText="1"/>
    </xf>
    <xf numFmtId="0" fontId="4" fillId="0" borderId="20" xfId="0" applyFont="1" applyBorder="1" applyAlignment="1">
      <alignment horizontal="center"/>
    </xf>
    <xf numFmtId="0" fontId="4" fillId="0" borderId="52" xfId="0" applyFont="1" applyBorder="1" applyAlignment="1">
      <alignment horizontal="center"/>
    </xf>
    <xf numFmtId="0" fontId="4" fillId="0" borderId="150" xfId="0" applyFont="1" applyBorder="1" applyAlignment="1">
      <alignment horizontal="center" vertical="center" wrapText="1"/>
    </xf>
    <xf numFmtId="0" fontId="38" fillId="0" borderId="150" xfId="0" applyFont="1" applyBorder="1" applyAlignment="1">
      <alignment horizontal="center" vertical="center" wrapText="1"/>
    </xf>
    <xf numFmtId="0" fontId="38" fillId="0" borderId="58" xfId="0" applyFont="1" applyBorder="1" applyAlignment="1">
      <alignment horizontal="center" vertical="center" wrapText="1"/>
    </xf>
    <xf numFmtId="0" fontId="43" fillId="0" borderId="0" xfId="11" applyFont="1" applyAlignment="1" applyProtection="1">
      <alignment horizontal="left" vertical="center" wrapText="1"/>
      <protection locked="0"/>
    </xf>
    <xf numFmtId="0" fontId="4" fillId="0" borderId="133"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32" fillId="0" borderId="0" xfId="11" applyFont="1" applyAlignment="1" applyProtection="1">
      <alignment horizontal="left" vertical="center"/>
      <protection locked="0"/>
    </xf>
    <xf numFmtId="0" fontId="16" fillId="0" borderId="0" xfId="11" applyFont="1" applyAlignment="1" applyProtection="1">
      <alignment horizontal="left"/>
    </xf>
  </cellXfs>
  <cellStyles count="26">
    <cellStyle name="40% - Accent1" xfId="1" builtinId="31"/>
    <cellStyle name="60% - Accent1" xfId="2" builtinId="32"/>
    <cellStyle name="60% - Accent2" xfId="3" builtinId="36"/>
    <cellStyle name="Auto Populated Cells" xfId="4" xr:uid="{00000000-0005-0000-0000-000003000000}"/>
    <cellStyle name="Calculation 2" xfId="5" xr:uid="{00000000-0005-0000-0000-000004000000}"/>
    <cellStyle name="Comma" xfId="24" builtinId="3"/>
    <cellStyle name="Conditional Cell" xfId="6" xr:uid="{00000000-0005-0000-0000-000006000000}"/>
    <cellStyle name="Explanatory Text 2" xfId="7" xr:uid="{00000000-0005-0000-0000-000007000000}"/>
    <cellStyle name="Explanatory Text 3" xfId="8" xr:uid="{00000000-0005-0000-0000-000008000000}"/>
    <cellStyle name="Fixed Values" xfId="9" xr:uid="{00000000-0005-0000-0000-000009000000}"/>
    <cellStyle name="Heading 4 2" xfId="10" xr:uid="{00000000-0005-0000-0000-00000A000000}"/>
    <cellStyle name="Hyperlink" xfId="11" builtinId="8"/>
    <cellStyle name="Hyperlink 2" xfId="12" xr:uid="{00000000-0005-0000-0000-00000C000000}"/>
    <cellStyle name="Input 2" xfId="13" xr:uid="{00000000-0005-0000-0000-00000D000000}"/>
    <cellStyle name="Input 3" xfId="14" xr:uid="{00000000-0005-0000-0000-00000E000000}"/>
    <cellStyle name="Normal" xfId="0" builtinId="0"/>
    <cellStyle name="Normal 2" xfId="15" xr:uid="{00000000-0005-0000-0000-000010000000}"/>
    <cellStyle name="Normal 2 2" xfId="16" xr:uid="{00000000-0005-0000-0000-000011000000}"/>
    <cellStyle name="Normal 3" xfId="17" xr:uid="{00000000-0005-0000-0000-000012000000}"/>
    <cellStyle name="Normal 3 2" xfId="18" xr:uid="{00000000-0005-0000-0000-000013000000}"/>
    <cellStyle name="Normal 4" xfId="19" xr:uid="{00000000-0005-0000-0000-000014000000}"/>
    <cellStyle name="Output 2" xfId="20" xr:uid="{00000000-0005-0000-0000-000015000000}"/>
    <cellStyle name="Percent" xfId="25" builtinId="5"/>
    <cellStyle name="Revision Needed" xfId="21" xr:uid="{00000000-0005-0000-0000-000017000000}"/>
    <cellStyle name="Tab Header" xfId="22" xr:uid="{00000000-0005-0000-0000-000018000000}"/>
    <cellStyle name="Table Header" xfId="23" xr:uid="{00000000-0005-0000-0000-000019000000}"/>
  </cellStyles>
  <dxfs count="78">
    <dxf>
      <fill>
        <patternFill patternType="darkUp">
          <bgColor theme="0" tint="-0.14996795556505021"/>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fgColor indexed="64"/>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24994659260841701"/>
        </patternFill>
      </fill>
    </dxf>
    <dxf>
      <fill>
        <patternFill patternType="darkUp">
          <bgColor theme="0" tint="-0.14993743705557422"/>
        </patternFill>
      </fill>
    </dxf>
    <dxf>
      <fill>
        <patternFill patternType="darkUp">
          <bgColor theme="0" tint="-0.14993743705557422"/>
        </patternFill>
      </fill>
    </dxf>
    <dxf>
      <fill>
        <patternFill patternType="darkUp">
          <bgColor theme="0" tint="-0.14996795556505021"/>
        </patternFill>
      </fill>
    </dxf>
    <dxf>
      <fill>
        <patternFill patternType="darkUp">
          <bgColor theme="0" tint="-0.1499679555650502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lightUp"/>
      </fill>
    </dxf>
    <dxf>
      <fill>
        <patternFill patternType="lightUp"/>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lightUp"/>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bgColor indexed="22"/>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fgColor theme="1" tint="0.24994659260841701"/>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fgColor theme="1"/>
          <bgColor theme="0" tint="-0.14996795556505021"/>
        </patternFill>
      </fill>
    </dxf>
  </dxfs>
  <tableStyles count="0" defaultTableStyle="TableStyleMedium9" defaultPivotStyle="PivotStyleLight16"/>
  <colors>
    <mruColors>
      <color rgb="FF99CCFF"/>
      <color rgb="FF800000"/>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fr.gpoaccess.gov/cgi/t/text/text-idx?c=ecfr&amp;sid=9cf4e46bf8f101e9a944d0d973134bd4&amp;rgn=div9&amp;view=text&amp;node=10:3.0.1.4.18.2.9.6.21&amp;idno=10"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s://www.ecfr.gov/cgi-bin/text-idx?SID=ccacaf0178dc059cd7ea6582a6c07240&amp;mc=true&amp;node=pt10.3.431&amp;rgn=div5"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K88"/>
  <sheetViews>
    <sheetView showGridLines="0" tabSelected="1" zoomScale="80" zoomScaleNormal="80" workbookViewId="0">
      <selection activeCell="B11" sqref="B11:E11"/>
    </sheetView>
  </sheetViews>
  <sheetFormatPr defaultColWidth="9.140625" defaultRowHeight="16.5" x14ac:dyDescent="0.25"/>
  <cols>
    <col min="1" max="1" width="3.85546875" style="22" customWidth="1"/>
    <col min="2" max="2" width="40.5703125" style="22" customWidth="1"/>
    <col min="3" max="3" width="85.85546875" style="22" customWidth="1"/>
    <col min="4" max="6" width="21.140625" style="22" customWidth="1"/>
    <col min="7" max="7" width="9.5703125" style="22" customWidth="1"/>
    <col min="8" max="8" width="2.85546875" style="22" customWidth="1"/>
    <col min="9" max="9" width="28.7109375" style="22" customWidth="1"/>
    <col min="10" max="16384" width="9.140625" style="22"/>
  </cols>
  <sheetData>
    <row r="1" spans="1:8" ht="18" thickBot="1" x14ac:dyDescent="0.3">
      <c r="A1" s="32"/>
      <c r="H1" s="165"/>
    </row>
    <row r="2" spans="1:8" ht="18" thickBot="1" x14ac:dyDescent="0.3">
      <c r="B2" s="805" t="s">
        <v>622</v>
      </c>
      <c r="C2" s="806"/>
      <c r="H2" s="41"/>
    </row>
    <row r="3" spans="1:8" x14ac:dyDescent="0.25">
      <c r="B3" s="365" t="s">
        <v>623</v>
      </c>
      <c r="C3" s="366" t="str">
        <f>'Version Control'!C3</f>
        <v>Commercial Air Conditioner and Heat Pump</v>
      </c>
      <c r="H3" s="41"/>
    </row>
    <row r="4" spans="1:8" x14ac:dyDescent="0.25">
      <c r="B4" s="367" t="s">
        <v>142</v>
      </c>
      <c r="C4" s="368" t="str">
        <f>'Version Control'!C4</f>
        <v>v2.2</v>
      </c>
      <c r="H4" s="41"/>
    </row>
    <row r="5" spans="1:8" ht="17.25" x14ac:dyDescent="0.25">
      <c r="A5" s="177"/>
      <c r="B5" s="367" t="s">
        <v>475</v>
      </c>
      <c r="C5" s="369">
        <f>'Version Control'!C5</f>
        <v>43353</v>
      </c>
      <c r="H5" s="41"/>
    </row>
    <row r="6" spans="1:8" x14ac:dyDescent="0.25">
      <c r="B6" s="370" t="s">
        <v>141</v>
      </c>
      <c r="C6" s="371" t="str">
        <f ca="1">MID(CELL("filename",$A$1), FIND("]", CELL("filename", $A$1))+ 1, 255)</f>
        <v>Instructions</v>
      </c>
      <c r="H6" s="41"/>
    </row>
    <row r="7" spans="1:8" ht="17.25" thickBot="1" x14ac:dyDescent="0.3">
      <c r="B7" s="376" t="s">
        <v>140</v>
      </c>
      <c r="C7" s="377" t="str">
        <f ca="1">'Version Control'!C7</f>
        <v>Commercial Air Conditioner and Heat Pump - v2.2.xlsx</v>
      </c>
      <c r="H7" s="41"/>
    </row>
    <row r="8" spans="1:8" x14ac:dyDescent="0.25">
      <c r="B8" s="374"/>
      <c r="C8" s="375"/>
      <c r="H8" s="41"/>
    </row>
    <row r="9" spans="1:8" ht="18" thickBot="1" x14ac:dyDescent="0.3">
      <c r="D9" s="179"/>
      <c r="E9" s="40"/>
      <c r="F9" s="40"/>
      <c r="H9" s="41"/>
    </row>
    <row r="10" spans="1:8" ht="17.25" customHeight="1" thickBot="1" x14ac:dyDescent="0.3">
      <c r="B10" s="802" t="s">
        <v>147</v>
      </c>
      <c r="C10" s="803"/>
      <c r="D10" s="803"/>
      <c r="E10" s="804"/>
      <c r="F10" s="40"/>
      <c r="H10" s="41"/>
    </row>
    <row r="11" spans="1:8" ht="38.25" customHeight="1" thickBot="1" x14ac:dyDescent="0.35">
      <c r="B11" s="819" t="s">
        <v>645</v>
      </c>
      <c r="C11" s="820"/>
      <c r="D11" s="820"/>
      <c r="E11" s="821"/>
      <c r="F11" s="40"/>
      <c r="H11" s="41"/>
    </row>
    <row r="12" spans="1:8" ht="17.25" thickBot="1" x14ac:dyDescent="0.3">
      <c r="D12" s="40"/>
      <c r="E12" s="178"/>
      <c r="F12" s="40"/>
      <c r="H12" s="41"/>
    </row>
    <row r="13" spans="1:8" ht="18" thickBot="1" x14ac:dyDescent="0.3">
      <c r="B13" s="826" t="s">
        <v>654</v>
      </c>
      <c r="C13" s="827"/>
      <c r="D13" s="827"/>
      <c r="E13" s="827"/>
      <c r="F13" s="828"/>
      <c r="H13" s="41"/>
    </row>
    <row r="14" spans="1:8" ht="17.25" thickBot="1" x14ac:dyDescent="0.3">
      <c r="D14" s="40"/>
      <c r="E14" s="178"/>
      <c r="F14" s="40"/>
      <c r="H14" s="41"/>
    </row>
    <row r="15" spans="1:8" ht="18" thickBot="1" x14ac:dyDescent="0.3">
      <c r="B15" s="802" t="s">
        <v>1</v>
      </c>
      <c r="C15" s="804"/>
      <c r="D15" s="40"/>
      <c r="E15" s="178"/>
      <c r="F15" s="40"/>
      <c r="H15" s="41"/>
    </row>
    <row r="16" spans="1:8" s="101" customFormat="1" ht="17.25" x14ac:dyDescent="0.25">
      <c r="B16" s="795" t="s">
        <v>463</v>
      </c>
      <c r="C16" s="796" t="s">
        <v>464</v>
      </c>
      <c r="E16" s="103"/>
      <c r="H16" s="102"/>
    </row>
    <row r="17" spans="2:11" x14ac:dyDescent="0.25">
      <c r="B17" s="793" t="s">
        <v>324</v>
      </c>
      <c r="C17" s="794" t="s">
        <v>545</v>
      </c>
      <c r="D17" s="180"/>
      <c r="E17" s="181"/>
      <c r="F17" s="40"/>
      <c r="H17" s="41"/>
    </row>
    <row r="18" spans="2:11" ht="17.25" x14ac:dyDescent="0.25">
      <c r="B18" s="109" t="s">
        <v>325</v>
      </c>
      <c r="C18" s="104" t="s">
        <v>546</v>
      </c>
      <c r="D18" s="180"/>
      <c r="E18" s="182"/>
      <c r="F18" s="40"/>
      <c r="H18" s="41"/>
    </row>
    <row r="19" spans="2:11" x14ac:dyDescent="0.25">
      <c r="B19" s="25" t="s">
        <v>2</v>
      </c>
      <c r="C19" s="104" t="s">
        <v>547</v>
      </c>
      <c r="D19" s="40"/>
      <c r="E19" s="40"/>
      <c r="F19" s="40"/>
      <c r="H19" s="41"/>
    </row>
    <row r="20" spans="2:11" x14ac:dyDescent="0.25">
      <c r="B20" s="29" t="s">
        <v>4</v>
      </c>
      <c r="C20" s="105" t="s">
        <v>548</v>
      </c>
      <c r="E20" s="200"/>
      <c r="H20" s="41"/>
      <c r="I20" s="40"/>
      <c r="J20" s="40"/>
      <c r="K20" s="40"/>
    </row>
    <row r="21" spans="2:11" x14ac:dyDescent="0.25">
      <c r="B21" s="25" t="s">
        <v>3</v>
      </c>
      <c r="C21" s="104" t="s">
        <v>549</v>
      </c>
      <c r="D21" s="40"/>
      <c r="E21" s="40"/>
      <c r="F21" s="40"/>
      <c r="H21" s="41"/>
    </row>
    <row r="22" spans="2:11" x14ac:dyDescent="0.25">
      <c r="B22" s="25" t="s">
        <v>326</v>
      </c>
      <c r="C22" s="104" t="s">
        <v>5</v>
      </c>
      <c r="D22" s="40"/>
      <c r="G22" s="40"/>
      <c r="H22" s="183"/>
    </row>
    <row r="23" spans="2:11" x14ac:dyDescent="0.25">
      <c r="B23" s="29" t="s">
        <v>328</v>
      </c>
      <c r="C23" s="106" t="s">
        <v>528</v>
      </c>
      <c r="D23" s="40"/>
      <c r="E23" s="40"/>
      <c r="F23" s="40"/>
      <c r="G23" s="40"/>
      <c r="H23" s="183"/>
    </row>
    <row r="24" spans="2:11" x14ac:dyDescent="0.25">
      <c r="B24" s="29" t="s">
        <v>329</v>
      </c>
      <c r="C24" s="106" t="s">
        <v>529</v>
      </c>
      <c r="D24" s="40"/>
      <c r="E24" s="40"/>
      <c r="F24" s="40"/>
      <c r="G24" s="40"/>
      <c r="H24" s="183"/>
    </row>
    <row r="25" spans="2:11" x14ac:dyDescent="0.25">
      <c r="B25" s="29" t="s">
        <v>330</v>
      </c>
      <c r="C25" s="106" t="s">
        <v>530</v>
      </c>
      <c r="D25" s="40"/>
      <c r="E25" s="40"/>
      <c r="F25" s="40"/>
      <c r="G25" s="40"/>
      <c r="H25" s="183"/>
    </row>
    <row r="26" spans="2:11" x14ac:dyDescent="0.25">
      <c r="B26" s="29" t="s">
        <v>331</v>
      </c>
      <c r="C26" s="106" t="s">
        <v>526</v>
      </c>
      <c r="D26" s="40"/>
      <c r="E26" s="40"/>
      <c r="F26" s="40"/>
      <c r="G26" s="40"/>
      <c r="H26" s="183"/>
    </row>
    <row r="27" spans="2:11" x14ac:dyDescent="0.25">
      <c r="B27" s="29" t="s">
        <v>332</v>
      </c>
      <c r="C27" s="106" t="s">
        <v>527</v>
      </c>
      <c r="D27" s="40"/>
      <c r="E27" s="40"/>
      <c r="F27" s="40"/>
      <c r="G27" s="40"/>
      <c r="H27" s="183"/>
    </row>
    <row r="28" spans="2:11" x14ac:dyDescent="0.25">
      <c r="B28" s="29" t="s">
        <v>333</v>
      </c>
      <c r="C28" s="106" t="s">
        <v>531</v>
      </c>
      <c r="D28" s="40"/>
      <c r="E28" s="40"/>
      <c r="F28" s="40"/>
      <c r="G28" s="40"/>
      <c r="H28" s="183"/>
    </row>
    <row r="29" spans="2:11" x14ac:dyDescent="0.25">
      <c r="B29" s="29" t="s">
        <v>334</v>
      </c>
      <c r="C29" s="106" t="s">
        <v>532</v>
      </c>
      <c r="D29" s="40"/>
      <c r="E29" s="40"/>
      <c r="F29" s="40"/>
      <c r="G29" s="40"/>
      <c r="H29" s="183"/>
    </row>
    <row r="30" spans="2:11" x14ac:dyDescent="0.25">
      <c r="B30" s="29" t="s">
        <v>335</v>
      </c>
      <c r="C30" s="106" t="s">
        <v>533</v>
      </c>
      <c r="D30" s="40"/>
      <c r="E30" s="40"/>
      <c r="F30" s="40"/>
      <c r="G30" s="40"/>
      <c r="H30" s="183"/>
    </row>
    <row r="31" spans="2:11" ht="33" x14ac:dyDescent="0.25">
      <c r="B31" s="29" t="s">
        <v>556</v>
      </c>
      <c r="C31" s="106" t="s">
        <v>534</v>
      </c>
      <c r="D31" s="40"/>
      <c r="E31" s="40"/>
      <c r="F31" s="40"/>
      <c r="G31" s="40"/>
      <c r="H31" s="183"/>
    </row>
    <row r="32" spans="2:11" ht="33" x14ac:dyDescent="0.25">
      <c r="B32" s="29" t="s">
        <v>336</v>
      </c>
      <c r="C32" s="106" t="s">
        <v>535</v>
      </c>
      <c r="D32" s="40"/>
      <c r="E32" s="40"/>
      <c r="F32" s="40"/>
      <c r="G32" s="40"/>
      <c r="H32" s="183"/>
    </row>
    <row r="33" spans="2:8" x14ac:dyDescent="0.25">
      <c r="B33" s="29" t="s">
        <v>337</v>
      </c>
      <c r="C33" s="106" t="s">
        <v>536</v>
      </c>
      <c r="D33" s="40"/>
      <c r="E33" s="40"/>
      <c r="F33" s="40"/>
      <c r="G33" s="40"/>
      <c r="H33" s="183"/>
    </row>
    <row r="34" spans="2:8" x14ac:dyDescent="0.25">
      <c r="B34" s="29" t="s">
        <v>338</v>
      </c>
      <c r="C34" s="106" t="s">
        <v>537</v>
      </c>
      <c r="D34" s="40"/>
      <c r="E34" s="40"/>
      <c r="F34" s="40"/>
      <c r="G34" s="40"/>
      <c r="H34" s="183"/>
    </row>
    <row r="35" spans="2:8" x14ac:dyDescent="0.25">
      <c r="B35" s="29" t="s">
        <v>340</v>
      </c>
      <c r="C35" s="106" t="s">
        <v>538</v>
      </c>
      <c r="D35" s="40"/>
      <c r="E35" s="40"/>
      <c r="F35" s="40"/>
      <c r="G35" s="40"/>
      <c r="H35" s="183"/>
    </row>
    <row r="36" spans="2:8" x14ac:dyDescent="0.25">
      <c r="B36" s="29" t="s">
        <v>339</v>
      </c>
      <c r="C36" s="106" t="s">
        <v>539</v>
      </c>
      <c r="D36" s="40"/>
      <c r="E36" s="40"/>
      <c r="F36" s="40"/>
      <c r="G36" s="40"/>
      <c r="H36" s="183"/>
    </row>
    <row r="37" spans="2:8" s="239" customFormat="1" x14ac:dyDescent="0.25">
      <c r="B37" s="267" t="s">
        <v>561</v>
      </c>
      <c r="C37" s="268" t="s">
        <v>652</v>
      </c>
      <c r="D37" s="247"/>
      <c r="E37" s="247"/>
      <c r="F37" s="247"/>
      <c r="G37" s="247"/>
      <c r="H37" s="269"/>
    </row>
    <row r="38" spans="2:8" s="239" customFormat="1" x14ac:dyDescent="0.25">
      <c r="B38" s="267" t="s">
        <v>562</v>
      </c>
      <c r="C38" s="268" t="s">
        <v>651</v>
      </c>
      <c r="D38" s="247"/>
      <c r="E38" s="247"/>
      <c r="F38" s="247"/>
      <c r="G38" s="247"/>
      <c r="H38" s="269"/>
    </row>
    <row r="39" spans="2:8" x14ac:dyDescent="0.25">
      <c r="B39" s="29" t="s">
        <v>327</v>
      </c>
      <c r="C39" s="106" t="s">
        <v>465</v>
      </c>
      <c r="D39" s="40"/>
      <c r="E39" s="40"/>
      <c r="F39" s="40"/>
      <c r="G39" s="40"/>
      <c r="H39" s="183"/>
    </row>
    <row r="40" spans="2:8" x14ac:dyDescent="0.25">
      <c r="B40" s="29" t="s">
        <v>344</v>
      </c>
      <c r="C40" s="107" t="s">
        <v>550</v>
      </c>
      <c r="D40" s="40"/>
      <c r="E40" s="40"/>
      <c r="F40" s="40"/>
      <c r="G40" s="40"/>
      <c r="H40" s="183"/>
    </row>
    <row r="41" spans="2:8" x14ac:dyDescent="0.25">
      <c r="B41" s="29" t="s">
        <v>343</v>
      </c>
      <c r="C41" s="107" t="s">
        <v>540</v>
      </c>
      <c r="D41" s="40"/>
      <c r="E41" s="40"/>
      <c r="F41" s="40"/>
      <c r="G41" s="40"/>
      <c r="H41" s="183"/>
    </row>
    <row r="42" spans="2:8" x14ac:dyDescent="0.25">
      <c r="B42" s="29" t="s">
        <v>341</v>
      </c>
      <c r="C42" s="107" t="s">
        <v>541</v>
      </c>
      <c r="D42" s="40"/>
      <c r="E42" s="40"/>
      <c r="F42" s="40"/>
      <c r="G42" s="40"/>
      <c r="H42" s="183"/>
    </row>
    <row r="43" spans="2:8" x14ac:dyDescent="0.25">
      <c r="B43" s="211" t="s">
        <v>524</v>
      </c>
      <c r="C43" s="212" t="s">
        <v>525</v>
      </c>
      <c r="D43" s="40"/>
      <c r="E43" s="40"/>
      <c r="F43" s="40"/>
      <c r="G43" s="40"/>
      <c r="H43" s="183"/>
    </row>
    <row r="44" spans="2:8" ht="17.25" thickBot="1" x14ac:dyDescent="0.3">
      <c r="B44" s="30" t="s">
        <v>342</v>
      </c>
      <c r="C44" s="108" t="s">
        <v>542</v>
      </c>
      <c r="D44" s="40"/>
      <c r="E44" s="40"/>
      <c r="F44" s="40"/>
      <c r="G44" s="40"/>
      <c r="H44" s="183"/>
    </row>
    <row r="45" spans="2:8" ht="17.25" thickBot="1" x14ac:dyDescent="0.3">
      <c r="B45" s="20"/>
      <c r="C45" s="21"/>
      <c r="D45" s="40"/>
      <c r="E45" s="40"/>
      <c r="F45" s="40"/>
      <c r="G45" s="40"/>
      <c r="H45" s="183"/>
    </row>
    <row r="46" spans="2:8" ht="18" thickBot="1" x14ac:dyDescent="0.4">
      <c r="B46" s="822" t="s">
        <v>356</v>
      </c>
      <c r="C46" s="823"/>
      <c r="D46" s="40"/>
      <c r="E46" s="40"/>
      <c r="F46" s="40"/>
      <c r="G46" s="40"/>
      <c r="H46" s="183"/>
    </row>
    <row r="47" spans="2:8" ht="16.5" customHeight="1" x14ac:dyDescent="0.25">
      <c r="B47" s="353" t="s">
        <v>617</v>
      </c>
      <c r="C47" s="792" t="s">
        <v>618</v>
      </c>
      <c r="D47" s="40"/>
      <c r="E47" s="40"/>
      <c r="F47" s="40"/>
      <c r="G47" s="40"/>
      <c r="H47" s="183"/>
    </row>
    <row r="48" spans="2:8" x14ac:dyDescent="0.25">
      <c r="B48" s="824" t="s">
        <v>619</v>
      </c>
      <c r="C48" s="349" t="s">
        <v>309</v>
      </c>
      <c r="D48" s="40"/>
      <c r="E48" s="40"/>
      <c r="F48" s="40"/>
      <c r="G48" s="40"/>
      <c r="H48" s="183"/>
    </row>
    <row r="49" spans="2:8" x14ac:dyDescent="0.25">
      <c r="B49" s="824"/>
      <c r="C49" s="350" t="s">
        <v>620</v>
      </c>
      <c r="D49" s="40"/>
      <c r="E49" s="40"/>
      <c r="F49" s="40"/>
      <c r="G49" s="40"/>
      <c r="H49" s="183"/>
    </row>
    <row r="50" spans="2:8" x14ac:dyDescent="0.25">
      <c r="B50" s="824"/>
      <c r="C50" s="351" t="s">
        <v>551</v>
      </c>
      <c r="D50" s="40"/>
      <c r="E50" s="40"/>
      <c r="F50" s="40"/>
      <c r="G50" s="40"/>
      <c r="H50" s="183"/>
    </row>
    <row r="51" spans="2:8" ht="21.75" thickBot="1" x14ac:dyDescent="0.3">
      <c r="B51" s="825"/>
      <c r="C51" s="352" t="s">
        <v>552</v>
      </c>
      <c r="D51" s="40"/>
      <c r="E51" s="40"/>
      <c r="F51" s="40"/>
      <c r="G51" s="40"/>
      <c r="H51" s="183"/>
    </row>
    <row r="52" spans="2:8" ht="17.25" thickBot="1" x14ac:dyDescent="0.3">
      <c r="B52" s="20"/>
      <c r="C52" s="21"/>
      <c r="D52" s="40"/>
      <c r="E52" s="40"/>
      <c r="F52" s="40"/>
      <c r="G52" s="40"/>
      <c r="H52" s="183"/>
    </row>
    <row r="53" spans="2:8" ht="18.75" thickBot="1" x14ac:dyDescent="0.3">
      <c r="B53" s="807" t="s">
        <v>543</v>
      </c>
      <c r="C53" s="808"/>
      <c r="D53" s="40"/>
      <c r="E53" s="40"/>
      <c r="F53" s="40"/>
      <c r="G53" s="40"/>
      <c r="H53" s="183"/>
    </row>
    <row r="54" spans="2:8" ht="34.5" customHeight="1" x14ac:dyDescent="0.25">
      <c r="B54" s="813" t="s">
        <v>650</v>
      </c>
      <c r="C54" s="814"/>
      <c r="D54" s="40"/>
      <c r="E54" s="40"/>
      <c r="F54" s="40"/>
      <c r="G54" s="40"/>
      <c r="H54" s="183"/>
    </row>
    <row r="55" spans="2:8" ht="34.5" customHeight="1" x14ac:dyDescent="0.25">
      <c r="B55" s="815"/>
      <c r="C55" s="816"/>
      <c r="D55" s="40"/>
      <c r="E55" s="40"/>
      <c r="F55" s="40"/>
      <c r="G55" s="40"/>
      <c r="H55" s="183"/>
    </row>
    <row r="56" spans="2:8" ht="35.25" customHeight="1" thickBot="1" x14ac:dyDescent="0.3">
      <c r="B56" s="817"/>
      <c r="C56" s="818"/>
      <c r="D56" s="40"/>
      <c r="E56" s="40"/>
      <c r="F56" s="40"/>
      <c r="G56" s="40"/>
      <c r="H56" s="183"/>
    </row>
    <row r="57" spans="2:8" ht="27.75" customHeight="1" x14ac:dyDescent="0.25">
      <c r="B57" s="809" t="s">
        <v>544</v>
      </c>
      <c r="C57" s="810"/>
      <c r="D57" s="40"/>
      <c r="E57" s="40"/>
      <c r="F57" s="40"/>
      <c r="G57" s="40"/>
      <c r="H57" s="183"/>
    </row>
    <row r="58" spans="2:8" ht="27.75" customHeight="1" thickBot="1" x14ac:dyDescent="0.3">
      <c r="B58" s="811"/>
      <c r="C58" s="812"/>
      <c r="D58" s="40"/>
      <c r="E58" s="40"/>
      <c r="F58" s="40"/>
      <c r="G58" s="40"/>
      <c r="H58" s="183"/>
    </row>
    <row r="59" spans="2:8" ht="15" customHeight="1" x14ac:dyDescent="0.25">
      <c r="B59" s="184"/>
      <c r="C59" s="185"/>
      <c r="D59" s="40"/>
      <c r="E59" s="40"/>
      <c r="F59" s="40"/>
      <c r="G59" s="40"/>
      <c r="H59" s="183"/>
    </row>
    <row r="60" spans="2:8" ht="15" customHeight="1" x14ac:dyDescent="0.25">
      <c r="B60" s="186" t="s">
        <v>353</v>
      </c>
      <c r="C60" s="187" t="s">
        <v>354</v>
      </c>
      <c r="D60" s="40"/>
      <c r="E60" s="40"/>
      <c r="F60" s="40"/>
      <c r="G60" s="40"/>
      <c r="H60" s="183"/>
    </row>
    <row r="61" spans="2:8" ht="15" customHeight="1" x14ac:dyDescent="0.25">
      <c r="B61" s="188"/>
      <c r="C61" s="189"/>
      <c r="D61" s="40"/>
      <c r="E61" s="40"/>
      <c r="F61" s="40"/>
      <c r="G61" s="40"/>
      <c r="H61" s="183"/>
    </row>
    <row r="62" spans="2:8" x14ac:dyDescent="0.25">
      <c r="B62" s="23" t="s">
        <v>6</v>
      </c>
      <c r="C62" s="190" t="s">
        <v>325</v>
      </c>
      <c r="D62" s="40"/>
      <c r="E62" s="40"/>
      <c r="F62" s="40"/>
      <c r="G62" s="40"/>
      <c r="H62" s="183"/>
    </row>
    <row r="63" spans="2:8" x14ac:dyDescent="0.25">
      <c r="B63" s="25" t="s">
        <v>7</v>
      </c>
      <c r="C63" s="191" t="s">
        <v>2</v>
      </c>
      <c r="D63" s="178"/>
      <c r="E63" s="40"/>
      <c r="F63" s="40"/>
      <c r="G63" s="40"/>
      <c r="H63" s="183"/>
    </row>
    <row r="64" spans="2:8" x14ac:dyDescent="0.25">
      <c r="B64" s="25" t="s">
        <v>8</v>
      </c>
      <c r="C64" s="191" t="s">
        <v>4</v>
      </c>
      <c r="E64" s="40"/>
      <c r="F64" s="40"/>
      <c r="G64" s="40"/>
      <c r="H64" s="183"/>
    </row>
    <row r="65" spans="1:8" x14ac:dyDescent="0.25">
      <c r="B65" s="25" t="s">
        <v>9</v>
      </c>
      <c r="C65" s="191" t="s">
        <v>3</v>
      </c>
      <c r="D65" s="178"/>
      <c r="E65" s="178"/>
      <c r="F65" s="40"/>
      <c r="G65" s="40"/>
      <c r="H65" s="183"/>
    </row>
    <row r="66" spans="1:8" ht="17.25" thickBot="1" x14ac:dyDescent="0.3">
      <c r="A66" s="40"/>
      <c r="B66" s="26" t="s">
        <v>10</v>
      </c>
      <c r="C66" s="192" t="s">
        <v>326</v>
      </c>
      <c r="D66" s="40"/>
      <c r="E66" s="40"/>
      <c r="F66" s="40"/>
      <c r="G66" s="40"/>
      <c r="H66" s="183"/>
    </row>
    <row r="67" spans="1:8" ht="18" thickBot="1" x14ac:dyDescent="0.3">
      <c r="B67" s="27" t="s">
        <v>11</v>
      </c>
      <c r="C67" s="28" t="s">
        <v>355</v>
      </c>
      <c r="D67" s="206" t="s">
        <v>483</v>
      </c>
      <c r="E67" s="205" t="s">
        <v>481</v>
      </c>
      <c r="F67" s="205" t="s">
        <v>482</v>
      </c>
      <c r="G67" s="40"/>
      <c r="H67" s="41"/>
    </row>
    <row r="68" spans="1:8" x14ac:dyDescent="0.25">
      <c r="A68" s="40"/>
      <c r="B68" s="34" t="s">
        <v>310</v>
      </c>
      <c r="C68" s="193" t="s">
        <v>328</v>
      </c>
      <c r="D68" s="194" t="s">
        <v>259</v>
      </c>
      <c r="E68" s="194" t="s">
        <v>259</v>
      </c>
      <c r="F68" s="195" t="s">
        <v>259</v>
      </c>
      <c r="G68" s="40"/>
      <c r="H68" s="41"/>
    </row>
    <row r="69" spans="1:8" x14ac:dyDescent="0.25">
      <c r="B69" s="35" t="s">
        <v>311</v>
      </c>
      <c r="C69" s="196" t="s">
        <v>329</v>
      </c>
      <c r="D69" s="197" t="s">
        <v>259</v>
      </c>
      <c r="E69" s="197" t="s">
        <v>259</v>
      </c>
      <c r="F69" s="198" t="s">
        <v>259</v>
      </c>
      <c r="G69" s="40"/>
      <c r="H69" s="41"/>
    </row>
    <row r="70" spans="1:8" x14ac:dyDescent="0.25">
      <c r="B70" s="35" t="s">
        <v>312</v>
      </c>
      <c r="C70" s="196" t="s">
        <v>330</v>
      </c>
      <c r="D70" s="197"/>
      <c r="E70" s="197" t="s">
        <v>259</v>
      </c>
      <c r="F70" s="198" t="s">
        <v>259</v>
      </c>
      <c r="G70" s="40"/>
      <c r="H70" s="41"/>
    </row>
    <row r="71" spans="1:8" x14ac:dyDescent="0.25">
      <c r="B71" s="35" t="s">
        <v>313</v>
      </c>
      <c r="C71" s="196" t="s">
        <v>331</v>
      </c>
      <c r="D71" s="197"/>
      <c r="E71" s="197"/>
      <c r="F71" s="198" t="s">
        <v>259</v>
      </c>
      <c r="H71" s="41"/>
    </row>
    <row r="72" spans="1:8" x14ac:dyDescent="0.25">
      <c r="B72" s="35" t="s">
        <v>314</v>
      </c>
      <c r="C72" s="196" t="s">
        <v>332</v>
      </c>
      <c r="D72" s="197" t="s">
        <v>259</v>
      </c>
      <c r="E72" s="197" t="s">
        <v>259</v>
      </c>
      <c r="F72" s="198"/>
      <c r="G72" s="40"/>
      <c r="H72" s="41"/>
    </row>
    <row r="73" spans="1:8" x14ac:dyDescent="0.25">
      <c r="B73" s="35" t="s">
        <v>315</v>
      </c>
      <c r="C73" s="196" t="s">
        <v>333</v>
      </c>
      <c r="D73" s="197" t="s">
        <v>259</v>
      </c>
      <c r="E73" s="197" t="s">
        <v>259</v>
      </c>
      <c r="F73" s="198"/>
      <c r="G73" s="40"/>
      <c r="H73" s="41"/>
    </row>
    <row r="74" spans="1:8" x14ac:dyDescent="0.25">
      <c r="B74" s="35" t="s">
        <v>316</v>
      </c>
      <c r="C74" s="196" t="s">
        <v>334</v>
      </c>
      <c r="D74" s="197"/>
      <c r="E74" s="197"/>
      <c r="F74" s="198" t="s">
        <v>259</v>
      </c>
      <c r="G74" s="40"/>
      <c r="H74" s="41"/>
    </row>
    <row r="75" spans="1:8" x14ac:dyDescent="0.25">
      <c r="B75" s="35" t="s">
        <v>317</v>
      </c>
      <c r="C75" s="196" t="s">
        <v>335</v>
      </c>
      <c r="D75" s="197"/>
      <c r="E75" s="197"/>
      <c r="F75" s="198" t="s">
        <v>259</v>
      </c>
      <c r="H75" s="41"/>
    </row>
    <row r="76" spans="1:8" x14ac:dyDescent="0.25">
      <c r="B76" s="35" t="s">
        <v>318</v>
      </c>
      <c r="C76" s="231" t="s">
        <v>556</v>
      </c>
      <c r="D76" s="197"/>
      <c r="E76" s="197" t="s">
        <v>259</v>
      </c>
      <c r="F76" s="198" t="s">
        <v>259</v>
      </c>
      <c r="H76" s="41"/>
    </row>
    <row r="77" spans="1:8" x14ac:dyDescent="0.25">
      <c r="B77" s="35" t="s">
        <v>319</v>
      </c>
      <c r="C77" s="196" t="s">
        <v>336</v>
      </c>
      <c r="D77" s="197" t="s">
        <v>259</v>
      </c>
      <c r="E77" s="197" t="s">
        <v>259</v>
      </c>
      <c r="F77" s="198" t="s">
        <v>259</v>
      </c>
      <c r="H77" s="41"/>
    </row>
    <row r="78" spans="1:8" x14ac:dyDescent="0.25">
      <c r="B78" s="35" t="s">
        <v>320</v>
      </c>
      <c r="C78" s="196" t="s">
        <v>337</v>
      </c>
      <c r="D78" s="197" t="s">
        <v>259</v>
      </c>
      <c r="E78" s="197" t="s">
        <v>259</v>
      </c>
      <c r="F78" s="198" t="s">
        <v>259</v>
      </c>
      <c r="H78" s="41"/>
    </row>
    <row r="79" spans="1:8" x14ac:dyDescent="0.25">
      <c r="B79" s="35" t="s">
        <v>321</v>
      </c>
      <c r="C79" s="196" t="s">
        <v>338</v>
      </c>
      <c r="D79" s="197" t="s">
        <v>259</v>
      </c>
      <c r="E79" s="197" t="s">
        <v>259</v>
      </c>
      <c r="F79" s="198" t="s">
        <v>259</v>
      </c>
      <c r="H79" s="41"/>
    </row>
    <row r="80" spans="1:8" x14ac:dyDescent="0.25">
      <c r="B80" s="35" t="s">
        <v>322</v>
      </c>
      <c r="C80" s="196" t="s">
        <v>340</v>
      </c>
      <c r="D80" s="197"/>
      <c r="E80" s="197"/>
      <c r="F80" s="198" t="s">
        <v>259</v>
      </c>
      <c r="H80" s="41"/>
    </row>
    <row r="81" spans="1:8" x14ac:dyDescent="0.25">
      <c r="B81" s="278" t="s">
        <v>323</v>
      </c>
      <c r="C81" s="279" t="s">
        <v>339</v>
      </c>
      <c r="D81" s="280" t="s">
        <v>259</v>
      </c>
      <c r="E81" s="280" t="s">
        <v>259</v>
      </c>
      <c r="F81" s="281"/>
      <c r="H81" s="41"/>
    </row>
    <row r="82" spans="1:8" s="239" customFormat="1" x14ac:dyDescent="0.25">
      <c r="B82" s="270" t="s">
        <v>563</v>
      </c>
      <c r="C82" s="271" t="s">
        <v>561</v>
      </c>
      <c r="D82" s="272" t="s">
        <v>259</v>
      </c>
      <c r="E82" s="272" t="s">
        <v>259</v>
      </c>
      <c r="F82" s="273" t="s">
        <v>259</v>
      </c>
      <c r="H82" s="242"/>
    </row>
    <row r="83" spans="1:8" s="239" customFormat="1" ht="17.25" thickBot="1" x14ac:dyDescent="0.3">
      <c r="B83" s="274" t="s">
        <v>564</v>
      </c>
      <c r="C83" s="275" t="s">
        <v>649</v>
      </c>
      <c r="D83" s="276" t="s">
        <v>259</v>
      </c>
      <c r="E83" s="276" t="s">
        <v>259</v>
      </c>
      <c r="F83" s="277" t="s">
        <v>259</v>
      </c>
      <c r="H83" s="242"/>
    </row>
    <row r="84" spans="1:8" x14ac:dyDescent="0.25">
      <c r="B84" s="24" t="s">
        <v>12</v>
      </c>
      <c r="C84" s="190" t="s">
        <v>327</v>
      </c>
      <c r="H84" s="41"/>
    </row>
    <row r="85" spans="1:8" x14ac:dyDescent="0.25">
      <c r="B85" s="29" t="s">
        <v>13</v>
      </c>
      <c r="C85" s="191" t="s">
        <v>344</v>
      </c>
      <c r="H85" s="41"/>
    </row>
    <row r="86" spans="1:8" ht="17.25" thickBot="1" x14ac:dyDescent="0.3">
      <c r="B86" s="30" t="s">
        <v>14</v>
      </c>
      <c r="C86" s="199" t="s">
        <v>343</v>
      </c>
      <c r="H86" s="41"/>
    </row>
    <row r="87" spans="1:8" x14ac:dyDescent="0.25">
      <c r="H87" s="41"/>
    </row>
    <row r="88" spans="1:8" x14ac:dyDescent="0.25">
      <c r="A88" s="41"/>
      <c r="B88" s="41"/>
      <c r="C88" s="41"/>
      <c r="D88" s="41"/>
      <c r="E88" s="41"/>
      <c r="F88" s="41"/>
      <c r="G88" s="41"/>
      <c r="H88" s="41"/>
    </row>
  </sheetData>
  <sheetProtection password="CA08" sheet="1" objects="1" scenarios="1" selectLockedCells="1"/>
  <customSheetViews>
    <customSheetView guid="{2A4C6EB9-430A-44F2-86C8-15B50360FC3B}" scale="80" showPageBreaks="1" showGridLines="0" fitToPage="1" printArea="1" topLeftCell="A37">
      <selection activeCell="C55" sqref="C55"/>
      <pageMargins left="0.41" right="0.46" top="0.75" bottom="0.75" header="0.3" footer="0.3"/>
      <pageSetup scale="67" fitToHeight="2" orientation="landscape" r:id="rId1"/>
    </customSheetView>
    <customSheetView guid="{B3BD5AF3-9A64-4EA7-AE1F-3CC326849B8F}" scale="80" showPageBreaks="1" showGridLines="0" fitToPage="1" printArea="1" topLeftCell="A25">
      <selection activeCell="B39" sqref="B39"/>
      <pageMargins left="0.41" right="0.46" top="0.75" bottom="0.75" header="0.3" footer="0.3"/>
      <pageSetup scale="67" fitToHeight="2" orientation="landscape" r:id="rId2"/>
    </customSheetView>
  </customSheetViews>
  <mergeCells count="10">
    <mergeCell ref="B10:E10"/>
    <mergeCell ref="B2:C2"/>
    <mergeCell ref="B15:C15"/>
    <mergeCell ref="B53:C53"/>
    <mergeCell ref="B57:C58"/>
    <mergeCell ref="B54:C56"/>
    <mergeCell ref="B11:E11"/>
    <mergeCell ref="B46:C46"/>
    <mergeCell ref="B48:B51"/>
    <mergeCell ref="B13:F13"/>
  </mergeCells>
  <phoneticPr fontId="26" type="noConversion"/>
  <hyperlinks>
    <hyperlink ref="C62" location="'General Info and Test Results'!A1" display="Fill in Input Cells on &quot;General Info and Test Results&quot; tab." xr:uid="{00000000-0004-0000-0000-000000000000}"/>
    <hyperlink ref="C63" location="Instrumentation!A1" display="Fill in Input Cells on 'Instrumentation' tab" xr:uid="{00000000-0004-0000-0000-000001000000}"/>
    <hyperlink ref="C64" location="Setup!A1" display="Fill in Input Cells on &quot;Setup&quot; tab." xr:uid="{00000000-0004-0000-0000-000002000000}"/>
    <hyperlink ref="C65" location="Photos!A1" display="Fill in Input Cells on &quot;Photos&quot; tab." xr:uid="{00000000-0004-0000-0000-000003000000}"/>
    <hyperlink ref="C66" location="'Test Settings'!A1" display="Fill in Input Cells on &quot;Test Settings&quot; tab" xr:uid="{00000000-0004-0000-0000-000004000000}"/>
    <hyperlink ref="C84" location="Calculations!A1" display="Fill in Input Cells on &quot;Calculations&quot; tab" xr:uid="{00000000-0004-0000-0000-000005000000}"/>
    <hyperlink ref="C86" location="'Report Sign-off Block'!A1" display="Fill in Input Cells on &quot;Report Sign-off Block&quot; tab" xr:uid="{00000000-0004-0000-0000-000006000000}"/>
    <hyperlink ref="C85" location="'Test Comments'!A1" display="Fill in Input Cells on &quot;Test Comments&quot; tab" xr:uid="{00000000-0004-0000-0000-000007000000}"/>
    <hyperlink ref="C68" location="'A Test Recorded Data'!A1" display="Fill in Input Cells on &quot;A Test Recorded Data&quot; tabs" xr:uid="{00000000-0004-0000-0000-000008000000}"/>
    <hyperlink ref="C69" location="'B Test Recorded Data'!A1" display="Fill in Input Cells on &quot;B Test Recorded Data&quot; tabs" xr:uid="{00000000-0004-0000-0000-000009000000}"/>
    <hyperlink ref="C70" location="'F Test Recorded Data'!A1" display="Fill in Input Cells on &quot;F Test Recorded Data&quot; tabs" xr:uid="{00000000-0004-0000-0000-00000A000000}"/>
    <hyperlink ref="C71" location="'Ev Test Recorded Data'!A1" display="Fill in Input Cells on &quot;Ev Test Recorded Data&quot; tabs" xr:uid="{00000000-0004-0000-0000-00000B000000}"/>
    <hyperlink ref="C72" location="'Optional C Test Recorded Data'!A1" display="Fill in Input Cells on &quot;Optional C Test Recorded Data&quot; tabs" xr:uid="{00000000-0004-0000-0000-00000C000000}"/>
    <hyperlink ref="C73" location="'Optional D Test Recorded Data'!A1" display="Fill in Input Cells on &quot;Optional D Test Recorded Data&quot; tabs" xr:uid="{00000000-0004-0000-0000-00000D000000}"/>
    <hyperlink ref="C74" location="'Optional G Test Recorded Data'!A1" display="Fill in Input Cells on &quot;Optional G Test Recorded Data&quot; tabs" xr:uid="{00000000-0004-0000-0000-00000E000000}"/>
    <hyperlink ref="C75" location="'Optional I Test Recorded Data'!A1" display="Fill in Input Cells on &quot;Optional I Test Recorded Data&quot; tabs" xr:uid="{00000000-0004-0000-0000-00000F000000}"/>
    <hyperlink ref="C76" location="'H0-1 Test Recorded Data'!A1" display="H0-1 Test Recorded Data" xr:uid="{00000000-0004-0000-0000-000010000000}"/>
    <hyperlink ref="C77" location="'H1 Test Recorded Data'!A1" display="Fill in Input Cells on &quot;H1 Test Recorded Data&quot; tabs" xr:uid="{00000000-0004-0000-0000-000011000000}"/>
    <hyperlink ref="C78" location="'H2 Test Recorded Data'!A1" display="Fill in Input Cells on &quot;H2 Test Recorded Data&quot; tabs" xr:uid="{00000000-0004-0000-0000-000012000000}"/>
    <hyperlink ref="C79" location="'H3 Test Recorded Data'!A1" display="Fill in Input Cells on &quot;H3 Test Recorded Data&quot; tabs" xr:uid="{00000000-0004-0000-0000-000013000000}"/>
    <hyperlink ref="C80" location="'Optional H0C Test Recorded Data'!A1" display="Fill in Input Cells on &quot;Optional H0C Test Recorded Data&quot; tabs" xr:uid="{00000000-0004-0000-0000-000014000000}"/>
    <hyperlink ref="C81" location="'Optional H1C Test Recorded Data'!A1" display="Fill in Input Cells on &quot;Optional H1C Test Recorded Data&quot; tabs" xr:uid="{00000000-0004-0000-0000-000015000000}"/>
    <hyperlink ref="B11" r:id="rId3" display="Appendix M to Subpart B of Part 430—Uniform Test Method for Measuring the Energy Consumption of Central Air Conditioners and Heat Pumps" xr:uid="{00000000-0004-0000-0000-000016000000}"/>
    <hyperlink ref="C82" location="'IEER Tests Recorded Data'!A1" display="IEER Tests Recorded Data (ENERGY STAR Testing Only)" xr:uid="{00000000-0004-0000-0000-000017000000}"/>
    <hyperlink ref="C83" location="'IEER Calculations'!A1" display="IEER Calculcations (ENERGY STAR Testing Only)" xr:uid="{00000000-0004-0000-0000-000018000000}"/>
    <hyperlink ref="B11:E11" r:id="rId4" display="10 CFR 431.96-Uniform Test Method for Measurement of Energy Efficiency of Small, Large, &amp; Very Large Commercial Packaged Air-Conditioning &amp; Heating Equipment, &amp; Packaged Terminal Air Conditioners &amp; Heat Pumps" xr:uid="{00000000-0004-0000-0000-000019000000}"/>
  </hyperlinks>
  <pageMargins left="0.41" right="0.46" top="0.75" bottom="0.75" header="0.3" footer="0.3"/>
  <pageSetup scale="67" fitToHeight="2"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0070C0"/>
  </sheetPr>
  <dimension ref="A1:K82"/>
  <sheetViews>
    <sheetView showGridLines="0" showZeros="0" zoomScale="80" zoomScaleNormal="80" workbookViewId="0">
      <selection activeCell="E2" sqref="E2:F2"/>
    </sheetView>
  </sheetViews>
  <sheetFormatPr defaultColWidth="9.140625" defaultRowHeight="16.5" x14ac:dyDescent="0.3"/>
  <cols>
    <col min="1" max="1" width="5.140625" style="5" customWidth="1"/>
    <col min="2" max="2" width="31.140625" style="5" customWidth="1"/>
    <col min="3" max="3" width="68" style="5" customWidth="1"/>
    <col min="4" max="6" width="12.42578125" style="5" customWidth="1"/>
    <col min="7" max="7" width="10.85546875" style="5" customWidth="1"/>
    <col min="8" max="8" width="21.5703125" style="5" customWidth="1"/>
    <col min="9" max="9" width="23.42578125" style="5" customWidth="1"/>
    <col min="10" max="10" width="6.42578125" style="110" customWidth="1"/>
    <col min="11" max="11" width="5.140625" style="5" customWidth="1"/>
    <col min="12" max="16384" width="9.140625" style="5"/>
  </cols>
  <sheetData>
    <row r="1" spans="2:11" ht="17.25" thickBot="1" x14ac:dyDescent="0.35">
      <c r="J1" s="123"/>
      <c r="K1" s="17"/>
    </row>
    <row r="2" spans="2:11" s="1" customFormat="1" ht="18.75" thickBot="1" x14ac:dyDescent="0.4">
      <c r="B2" s="805" t="s">
        <v>622</v>
      </c>
      <c r="C2" s="806"/>
      <c r="E2" s="840" t="s">
        <v>553</v>
      </c>
      <c r="F2" s="840"/>
      <c r="G2" s="332"/>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Ev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7.25" thickBot="1" x14ac:dyDescent="0.35">
      <c r="B8" s="372" t="s">
        <v>143</v>
      </c>
      <c r="C8" s="373" t="str">
        <f>'Version Control'!C8</f>
        <v>[MM/DD/YYYY]</v>
      </c>
      <c r="G8" s="12"/>
      <c r="H8" s="8"/>
      <c r="J8" s="124"/>
      <c r="K8" s="125"/>
    </row>
    <row r="9" spans="2:11" s="1" customFormat="1" x14ac:dyDescent="0.3">
      <c r="B9" s="4"/>
      <c r="C9" s="232"/>
      <c r="G9" s="12"/>
      <c r="H9" s="8"/>
      <c r="J9" s="124"/>
      <c r="K9" s="125"/>
    </row>
    <row r="10" spans="2:11" s="1" customFormat="1" x14ac:dyDescent="0.3">
      <c r="B10" s="4"/>
      <c r="C10" s="232"/>
      <c r="J10" s="124"/>
      <c r="K10" s="125"/>
    </row>
    <row r="11" spans="2:11" x14ac:dyDescent="0.3">
      <c r="B11" s="380"/>
      <c r="C11" s="447" t="s">
        <v>131</v>
      </c>
      <c r="D11" s="448"/>
      <c r="E11" s="380"/>
      <c r="F11" s="920"/>
      <c r="G11" s="920"/>
      <c r="H11" s="380"/>
      <c r="K11" s="17"/>
    </row>
    <row r="12" spans="2:11" ht="18" thickBot="1" x14ac:dyDescent="0.4">
      <c r="B12" s="449"/>
      <c r="C12" s="380"/>
      <c r="D12" s="380"/>
      <c r="E12" s="380"/>
      <c r="F12" s="380"/>
      <c r="G12" s="380"/>
      <c r="H12" s="380"/>
      <c r="K12" s="17"/>
    </row>
    <row r="13" spans="2:11" ht="18.75" thickBot="1" x14ac:dyDescent="0.4">
      <c r="B13" s="939" t="s">
        <v>640</v>
      </c>
      <c r="C13" s="940"/>
      <c r="D13" s="940"/>
      <c r="E13" s="940"/>
      <c r="F13" s="940"/>
      <c r="G13" s="941"/>
      <c r="H13" s="380"/>
      <c r="K13" s="17"/>
    </row>
    <row r="14" spans="2:11" ht="18" thickBot="1" x14ac:dyDescent="0.4">
      <c r="B14" s="400"/>
      <c r="C14" s="388"/>
      <c r="D14" s="388"/>
      <c r="E14" s="388"/>
      <c r="F14" s="388"/>
      <c r="G14" s="422"/>
      <c r="H14" s="380"/>
      <c r="K14" s="17"/>
    </row>
    <row r="15" spans="2:11" ht="18" thickBot="1" x14ac:dyDescent="0.4">
      <c r="B15" s="400"/>
      <c r="C15" s="913" t="s">
        <v>55</v>
      </c>
      <c r="D15" s="914"/>
      <c r="E15" s="914"/>
      <c r="F15" s="915"/>
      <c r="G15" s="423"/>
      <c r="H15" s="380"/>
      <c r="K15" s="17"/>
    </row>
    <row r="16" spans="2:11" ht="17.25" x14ac:dyDescent="0.35">
      <c r="B16" s="395"/>
      <c r="C16" s="398"/>
      <c r="D16" s="957" t="s">
        <v>48</v>
      </c>
      <c r="E16" s="955"/>
      <c r="F16" s="956"/>
      <c r="G16" s="423"/>
      <c r="H16" s="380"/>
      <c r="I16" s="127"/>
      <c r="J16" s="136"/>
      <c r="K16" s="17"/>
    </row>
    <row r="17" spans="2:11" ht="17.25" x14ac:dyDescent="0.35">
      <c r="B17" s="400"/>
      <c r="C17" s="395"/>
      <c r="D17" s="409" t="s">
        <v>56</v>
      </c>
      <c r="E17" s="409" t="s">
        <v>57</v>
      </c>
      <c r="F17" s="410" t="s">
        <v>58</v>
      </c>
      <c r="G17" s="423"/>
      <c r="H17" s="380"/>
      <c r="I17" s="127"/>
      <c r="J17" s="136"/>
      <c r="K17" s="17"/>
    </row>
    <row r="18" spans="2:11" x14ac:dyDescent="0.3">
      <c r="B18" s="395"/>
      <c r="C18" s="386" t="s">
        <v>442</v>
      </c>
      <c r="D18" s="436"/>
      <c r="E18" s="437"/>
      <c r="F18" s="431"/>
      <c r="G18" s="423"/>
      <c r="H18" s="380"/>
      <c r="I18" s="128"/>
      <c r="J18" s="137"/>
      <c r="K18" s="17"/>
    </row>
    <row r="19" spans="2:11" x14ac:dyDescent="0.3">
      <c r="B19" s="395"/>
      <c r="C19" s="386" t="s">
        <v>443</v>
      </c>
      <c r="D19" s="430"/>
      <c r="E19" s="430"/>
      <c r="F19" s="431"/>
      <c r="G19" s="423"/>
      <c r="H19" s="380"/>
      <c r="I19" s="128"/>
      <c r="J19" s="137"/>
      <c r="K19" s="17"/>
    </row>
    <row r="20" spans="2:11" x14ac:dyDescent="0.3">
      <c r="B20" s="395"/>
      <c r="C20" s="414" t="s">
        <v>59</v>
      </c>
      <c r="D20" s="430"/>
      <c r="E20" s="430"/>
      <c r="F20" s="431"/>
      <c r="G20" s="423"/>
      <c r="H20" s="380"/>
      <c r="I20" s="128"/>
      <c r="J20" s="137"/>
      <c r="K20" s="17"/>
    </row>
    <row r="21" spans="2:11" x14ac:dyDescent="0.3">
      <c r="B21" s="395"/>
      <c r="C21" s="414" t="s">
        <v>60</v>
      </c>
      <c r="D21" s="430"/>
      <c r="E21" s="430"/>
      <c r="F21" s="431"/>
      <c r="G21" s="423"/>
      <c r="H21" s="380"/>
      <c r="I21" s="128"/>
      <c r="J21" s="137"/>
      <c r="K21" s="17"/>
    </row>
    <row r="22" spans="2:11" x14ac:dyDescent="0.3">
      <c r="B22" s="395"/>
      <c r="C22" s="386" t="s">
        <v>445</v>
      </c>
      <c r="D22" s="430"/>
      <c r="E22" s="388"/>
      <c r="F22" s="399"/>
      <c r="G22" s="423"/>
      <c r="H22" s="380"/>
      <c r="I22" s="128"/>
      <c r="J22" s="137"/>
      <c r="K22" s="17"/>
    </row>
    <row r="23" spans="2:11" ht="17.25" thickBot="1" x14ac:dyDescent="0.35">
      <c r="B23" s="395"/>
      <c r="C23" s="391" t="s">
        <v>453</v>
      </c>
      <c r="D23" s="427"/>
      <c r="E23" s="405"/>
      <c r="F23" s="406"/>
      <c r="G23" s="423"/>
      <c r="H23" s="380"/>
      <c r="I23" s="128"/>
      <c r="J23" s="137"/>
      <c r="K23" s="17"/>
    </row>
    <row r="24" spans="2:11" ht="17.25" thickBot="1" x14ac:dyDescent="0.35">
      <c r="B24" s="395"/>
      <c r="C24" s="407"/>
      <c r="D24" s="388"/>
      <c r="E24" s="388"/>
      <c r="F24" s="388"/>
      <c r="G24" s="428"/>
      <c r="H24" s="380"/>
      <c r="I24" s="128"/>
      <c r="J24" s="137"/>
      <c r="K24" s="17"/>
    </row>
    <row r="25" spans="2:11" ht="18" thickBot="1" x14ac:dyDescent="0.4">
      <c r="B25" s="395"/>
      <c r="C25" s="913" t="s">
        <v>61</v>
      </c>
      <c r="D25" s="914"/>
      <c r="E25" s="914"/>
      <c r="F25" s="915"/>
      <c r="G25" s="423"/>
      <c r="H25" s="380"/>
      <c r="I25" s="128"/>
      <c r="J25" s="137"/>
      <c r="K25" s="17"/>
    </row>
    <row r="26" spans="2:11" ht="17.25" x14ac:dyDescent="0.35">
      <c r="B26" s="395"/>
      <c r="C26" s="429"/>
      <c r="D26" s="957" t="s">
        <v>48</v>
      </c>
      <c r="E26" s="955"/>
      <c r="F26" s="956"/>
      <c r="G26" s="423"/>
      <c r="H26" s="380"/>
      <c r="I26" s="128"/>
      <c r="J26" s="137"/>
      <c r="K26" s="17"/>
    </row>
    <row r="27" spans="2:11" ht="17.25" x14ac:dyDescent="0.35">
      <c r="B27" s="400"/>
      <c r="C27" s="408"/>
      <c r="D27" s="409" t="s">
        <v>56</v>
      </c>
      <c r="E27" s="409" t="s">
        <v>57</v>
      </c>
      <c r="F27" s="410" t="s">
        <v>58</v>
      </c>
      <c r="G27" s="423"/>
      <c r="H27" s="380"/>
      <c r="I27" s="128"/>
      <c r="J27" s="137"/>
      <c r="K27" s="17"/>
    </row>
    <row r="28" spans="2:11" x14ac:dyDescent="0.3">
      <c r="B28" s="395"/>
      <c r="C28" s="414" t="s">
        <v>62</v>
      </c>
      <c r="D28" s="430"/>
      <c r="E28" s="430"/>
      <c r="F28" s="431"/>
      <c r="G28" s="423"/>
      <c r="H28" s="380"/>
      <c r="I28" s="128"/>
      <c r="J28" s="137"/>
      <c r="K28" s="17"/>
    </row>
    <row r="29" spans="2:11" x14ac:dyDescent="0.3">
      <c r="B29" s="395"/>
      <c r="C29" s="414" t="s">
        <v>63</v>
      </c>
      <c r="D29" s="430"/>
      <c r="E29" s="430"/>
      <c r="F29" s="431"/>
      <c r="G29" s="423"/>
      <c r="H29" s="380"/>
      <c r="I29" s="128"/>
      <c r="J29" s="137"/>
      <c r="K29" s="17"/>
    </row>
    <row r="30" spans="2:11" x14ac:dyDescent="0.3">
      <c r="B30" s="395"/>
      <c r="C30" s="414" t="s">
        <v>64</v>
      </c>
      <c r="D30" s="430"/>
      <c r="E30" s="430"/>
      <c r="F30" s="431"/>
      <c r="G30" s="423"/>
      <c r="H30" s="380"/>
      <c r="I30" s="128"/>
      <c r="J30" s="137"/>
      <c r="K30" s="17"/>
    </row>
    <row r="31" spans="2:11" x14ac:dyDescent="0.3">
      <c r="B31" s="395"/>
      <c r="C31" s="414" t="s">
        <v>422</v>
      </c>
      <c r="D31" s="430"/>
      <c r="E31" s="430"/>
      <c r="F31" s="431"/>
      <c r="G31" s="423"/>
      <c r="H31" s="380"/>
      <c r="I31" s="128"/>
      <c r="J31" s="137"/>
      <c r="K31" s="17"/>
    </row>
    <row r="32" spans="2:11" ht="17.25" thickBot="1" x14ac:dyDescent="0.35">
      <c r="B32" s="395"/>
      <c r="C32" s="391" t="s">
        <v>437</v>
      </c>
      <c r="D32" s="427"/>
      <c r="E32" s="427"/>
      <c r="F32" s="432"/>
      <c r="G32" s="423"/>
      <c r="H32" s="380"/>
      <c r="I32" s="128"/>
      <c r="J32" s="137"/>
      <c r="K32" s="17"/>
    </row>
    <row r="33" spans="2:11" ht="17.25" thickBot="1" x14ac:dyDescent="0.35">
      <c r="B33" s="395"/>
      <c r="C33" s="388"/>
      <c r="D33" s="388"/>
      <c r="E33" s="388"/>
      <c r="F33" s="388"/>
      <c r="G33" s="428"/>
      <c r="H33" s="380"/>
      <c r="I33" s="128"/>
      <c r="J33" s="137"/>
      <c r="K33" s="17"/>
    </row>
    <row r="34" spans="2:11" ht="18" thickBot="1" x14ac:dyDescent="0.4">
      <c r="B34" s="395"/>
      <c r="C34" s="913" t="s">
        <v>65</v>
      </c>
      <c r="D34" s="914"/>
      <c r="E34" s="914"/>
      <c r="F34" s="915"/>
      <c r="G34" s="423"/>
      <c r="H34" s="380"/>
      <c r="I34" s="128"/>
      <c r="J34" s="137"/>
      <c r="K34" s="17"/>
    </row>
    <row r="35" spans="2:11" ht="17.25" x14ac:dyDescent="0.35">
      <c r="B35" s="395"/>
      <c r="C35" s="398"/>
      <c r="D35" s="957" t="s">
        <v>48</v>
      </c>
      <c r="E35" s="955"/>
      <c r="F35" s="956"/>
      <c r="G35" s="423"/>
      <c r="H35" s="380"/>
      <c r="I35" s="128"/>
      <c r="J35" s="137"/>
      <c r="K35" s="17"/>
    </row>
    <row r="36" spans="2:11" ht="17.25" x14ac:dyDescent="0.35">
      <c r="B36" s="400"/>
      <c r="C36" s="395"/>
      <c r="D36" s="409" t="s">
        <v>56</v>
      </c>
      <c r="E36" s="409" t="s">
        <v>57</v>
      </c>
      <c r="F36" s="410" t="s">
        <v>58</v>
      </c>
      <c r="G36" s="423"/>
      <c r="H36" s="380"/>
      <c r="I36" s="128"/>
      <c r="J36" s="137"/>
      <c r="K36" s="17"/>
    </row>
    <row r="37" spans="2:11" x14ac:dyDescent="0.3">
      <c r="B37" s="395"/>
      <c r="C37" s="414" t="s">
        <v>66</v>
      </c>
      <c r="D37" s="430"/>
      <c r="E37" s="430"/>
      <c r="F37" s="431"/>
      <c r="G37" s="423"/>
      <c r="H37" s="380"/>
      <c r="I37" s="128"/>
      <c r="J37" s="137"/>
      <c r="K37" s="17"/>
    </row>
    <row r="38" spans="2:11" x14ac:dyDescent="0.3">
      <c r="B38" s="395"/>
      <c r="C38" s="414" t="s">
        <v>67</v>
      </c>
      <c r="D38" s="430"/>
      <c r="E38" s="430"/>
      <c r="F38" s="431"/>
      <c r="G38" s="423"/>
      <c r="H38" s="380"/>
      <c r="I38" s="128"/>
      <c r="J38" s="137"/>
      <c r="K38" s="17"/>
    </row>
    <row r="39" spans="2:11" x14ac:dyDescent="0.3">
      <c r="B39" s="395"/>
      <c r="C39" s="414" t="s">
        <v>68</v>
      </c>
      <c r="D39" s="430"/>
      <c r="E39" s="430"/>
      <c r="F39" s="431"/>
      <c r="G39" s="423"/>
      <c r="H39" s="380"/>
      <c r="I39" s="128"/>
      <c r="J39" s="137"/>
      <c r="K39" s="17"/>
    </row>
    <row r="40" spans="2:11" x14ac:dyDescent="0.3">
      <c r="B40" s="395"/>
      <c r="C40" s="414" t="s">
        <v>69</v>
      </c>
      <c r="D40" s="430"/>
      <c r="E40" s="430"/>
      <c r="F40" s="431"/>
      <c r="G40" s="423"/>
      <c r="H40" s="380"/>
      <c r="I40" s="128"/>
      <c r="J40" s="137"/>
      <c r="K40" s="17"/>
    </row>
    <row r="41" spans="2:11" x14ac:dyDescent="0.3">
      <c r="B41" s="395"/>
      <c r="C41" s="414" t="s">
        <v>70</v>
      </c>
      <c r="D41" s="430"/>
      <c r="E41" s="430"/>
      <c r="F41" s="431"/>
      <c r="G41" s="423"/>
      <c r="H41" s="380"/>
      <c r="I41" s="128"/>
      <c r="J41" s="137"/>
      <c r="K41" s="17"/>
    </row>
    <row r="42" spans="2:11" x14ac:dyDescent="0.3">
      <c r="B42" s="395"/>
      <c r="C42" s="414" t="s">
        <v>71</v>
      </c>
      <c r="D42" s="430"/>
      <c r="E42" s="430"/>
      <c r="F42" s="431"/>
      <c r="G42" s="423"/>
      <c r="H42" s="380"/>
      <c r="I42" s="128"/>
      <c r="J42" s="137"/>
      <c r="K42" s="17"/>
    </row>
    <row r="43" spans="2:11" x14ac:dyDescent="0.3">
      <c r="B43" s="395"/>
      <c r="C43" s="414" t="s">
        <v>72</v>
      </c>
      <c r="D43" s="430"/>
      <c r="E43" s="430"/>
      <c r="F43" s="431"/>
      <c r="G43" s="423"/>
      <c r="H43" s="380"/>
      <c r="I43" s="128"/>
      <c r="J43" s="137"/>
      <c r="K43" s="17"/>
    </row>
    <row r="44" spans="2:11" x14ac:dyDescent="0.3">
      <c r="B44" s="395"/>
      <c r="C44" s="414" t="s">
        <v>73</v>
      </c>
      <c r="D44" s="430"/>
      <c r="E44" s="430"/>
      <c r="F44" s="431"/>
      <c r="G44" s="423"/>
      <c r="H44" s="380"/>
      <c r="I44" s="128"/>
      <c r="J44" s="137"/>
      <c r="K44" s="17"/>
    </row>
    <row r="45" spans="2:11" x14ac:dyDescent="0.3">
      <c r="B45" s="395"/>
      <c r="C45" s="414" t="s">
        <v>74</v>
      </c>
      <c r="D45" s="430"/>
      <c r="E45" s="430"/>
      <c r="F45" s="431"/>
      <c r="G45" s="423"/>
      <c r="H45" s="380"/>
      <c r="I45" s="128"/>
      <c r="J45" s="137"/>
      <c r="K45" s="17"/>
    </row>
    <row r="46" spans="2:11" x14ac:dyDescent="0.3">
      <c r="B46" s="395"/>
      <c r="C46" s="414" t="s">
        <v>75</v>
      </c>
      <c r="D46" s="430"/>
      <c r="E46" s="430"/>
      <c r="F46" s="431"/>
      <c r="G46" s="423"/>
      <c r="H46" s="380"/>
      <c r="I46" s="128"/>
      <c r="J46" s="137"/>
      <c r="K46" s="17"/>
    </row>
    <row r="47" spans="2:11" ht="17.25" thickBot="1" x14ac:dyDescent="0.35">
      <c r="B47" s="395"/>
      <c r="C47" s="415" t="s">
        <v>76</v>
      </c>
      <c r="D47" s="427"/>
      <c r="E47" s="427"/>
      <c r="F47" s="432"/>
      <c r="G47" s="423"/>
      <c r="H47" s="380"/>
      <c r="I47" s="128"/>
      <c r="J47" s="137"/>
      <c r="K47" s="17"/>
    </row>
    <row r="48" spans="2:11" ht="17.25" thickBot="1" x14ac:dyDescent="0.35">
      <c r="B48" s="395"/>
      <c r="C48" s="388"/>
      <c r="D48" s="388"/>
      <c r="E48" s="388"/>
      <c r="F48" s="388"/>
      <c r="G48" s="428"/>
      <c r="H48" s="380"/>
      <c r="I48" s="128"/>
      <c r="J48" s="137"/>
      <c r="K48" s="17"/>
    </row>
    <row r="49" spans="2:11" ht="18" thickBot="1" x14ac:dyDescent="0.4">
      <c r="B49" s="395"/>
      <c r="C49" s="913" t="s">
        <v>77</v>
      </c>
      <c r="D49" s="914"/>
      <c r="E49" s="914"/>
      <c r="F49" s="915"/>
      <c r="G49" s="423"/>
      <c r="H49" s="380"/>
      <c r="I49" s="128"/>
      <c r="J49" s="137"/>
      <c r="K49" s="17"/>
    </row>
    <row r="50" spans="2:11" ht="17.25" x14ac:dyDescent="0.35">
      <c r="B50" s="395"/>
      <c r="C50" s="398"/>
      <c r="D50" s="957" t="s">
        <v>48</v>
      </c>
      <c r="E50" s="955"/>
      <c r="F50" s="956"/>
      <c r="G50" s="423"/>
      <c r="H50" s="380"/>
      <c r="I50" s="128"/>
      <c r="J50" s="137"/>
      <c r="K50" s="17"/>
    </row>
    <row r="51" spans="2:11" ht="17.25" x14ac:dyDescent="0.35">
      <c r="B51" s="400"/>
      <c r="C51" s="395"/>
      <c r="D51" s="409" t="s">
        <v>56</v>
      </c>
      <c r="E51" s="409" t="s">
        <v>57</v>
      </c>
      <c r="F51" s="410" t="s">
        <v>58</v>
      </c>
      <c r="G51" s="423"/>
      <c r="H51" s="380"/>
      <c r="I51" s="128"/>
      <c r="J51" s="137"/>
      <c r="K51" s="17"/>
    </row>
    <row r="52" spans="2:11" x14ac:dyDescent="0.3">
      <c r="B52" s="395"/>
      <c r="C52" s="414" t="s">
        <v>306</v>
      </c>
      <c r="D52" s="430"/>
      <c r="E52" s="430"/>
      <c r="F52" s="431"/>
      <c r="G52" s="423"/>
      <c r="H52" s="380"/>
      <c r="I52" s="128"/>
      <c r="J52" s="137"/>
      <c r="K52" s="17"/>
    </row>
    <row r="53" spans="2:11" x14ac:dyDescent="0.3">
      <c r="B53" s="395"/>
      <c r="C53" s="414" t="s">
        <v>307</v>
      </c>
      <c r="D53" s="430"/>
      <c r="E53" s="430"/>
      <c r="F53" s="431"/>
      <c r="G53" s="423"/>
      <c r="H53" s="380"/>
      <c r="I53" s="128"/>
      <c r="J53" s="137"/>
      <c r="K53" s="17"/>
    </row>
    <row r="54" spans="2:11" x14ac:dyDescent="0.3">
      <c r="B54" s="395"/>
      <c r="C54" s="414" t="s">
        <v>80</v>
      </c>
      <c r="D54" s="430"/>
      <c r="E54" s="430"/>
      <c r="F54" s="431"/>
      <c r="G54" s="423"/>
      <c r="H54" s="380"/>
      <c r="I54" s="128"/>
      <c r="J54" s="137"/>
      <c r="K54" s="17"/>
    </row>
    <row r="55" spans="2:11" ht="17.25" thickBot="1" x14ac:dyDescent="0.35">
      <c r="B55" s="395"/>
      <c r="C55" s="415" t="s">
        <v>81</v>
      </c>
      <c r="D55" s="427"/>
      <c r="E55" s="427"/>
      <c r="F55" s="432"/>
      <c r="G55" s="423"/>
      <c r="H55" s="380"/>
      <c r="I55" s="128"/>
      <c r="J55" s="137"/>
      <c r="K55" s="17"/>
    </row>
    <row r="56" spans="2:11" ht="17.25" thickBot="1" x14ac:dyDescent="0.35">
      <c r="B56" s="395"/>
      <c r="C56" s="388"/>
      <c r="D56" s="388"/>
      <c r="E56" s="388"/>
      <c r="F56" s="417"/>
      <c r="G56" s="428"/>
      <c r="H56" s="380"/>
      <c r="I56" s="128"/>
      <c r="J56" s="137"/>
      <c r="K56" s="17"/>
    </row>
    <row r="57" spans="2:11" ht="18" thickBot="1" x14ac:dyDescent="0.4">
      <c r="B57" s="395"/>
      <c r="C57" s="913" t="s">
        <v>82</v>
      </c>
      <c r="D57" s="914"/>
      <c r="E57" s="914"/>
      <c r="F57" s="915"/>
      <c r="G57" s="423"/>
      <c r="H57" s="380"/>
      <c r="I57" s="128"/>
      <c r="J57" s="137"/>
      <c r="K57" s="17"/>
    </row>
    <row r="58" spans="2:11" ht="17.25" x14ac:dyDescent="0.35">
      <c r="B58" s="395"/>
      <c r="C58" s="398"/>
      <c r="D58" s="957" t="s">
        <v>48</v>
      </c>
      <c r="E58" s="955"/>
      <c r="F58" s="956"/>
      <c r="G58" s="423"/>
      <c r="H58" s="380"/>
      <c r="I58" s="128"/>
      <c r="J58" s="137"/>
      <c r="K58" s="17"/>
    </row>
    <row r="59" spans="2:11" ht="17.25" x14ac:dyDescent="0.35">
      <c r="B59" s="413"/>
      <c r="C59" s="395"/>
      <c r="D59" s="409" t="s">
        <v>56</v>
      </c>
      <c r="E59" s="409" t="s">
        <v>57</v>
      </c>
      <c r="F59" s="410" t="s">
        <v>58</v>
      </c>
      <c r="G59" s="423"/>
      <c r="H59" s="380"/>
      <c r="I59" s="128"/>
      <c r="J59" s="137"/>
      <c r="K59" s="17"/>
    </row>
    <row r="60" spans="2:11" x14ac:dyDescent="0.3">
      <c r="B60" s="395"/>
      <c r="C60" s="414" t="s">
        <v>83</v>
      </c>
      <c r="D60" s="430"/>
      <c r="E60" s="430"/>
      <c r="F60" s="431"/>
      <c r="G60" s="423"/>
      <c r="H60" s="380"/>
      <c r="I60" s="128"/>
      <c r="J60" s="137"/>
      <c r="K60" s="17"/>
    </row>
    <row r="61" spans="2:11" x14ac:dyDescent="0.3">
      <c r="B61" s="395"/>
      <c r="C61" s="414" t="s">
        <v>84</v>
      </c>
      <c r="D61" s="430"/>
      <c r="E61" s="430"/>
      <c r="F61" s="431"/>
      <c r="G61" s="423"/>
      <c r="H61" s="380"/>
      <c r="I61" s="128"/>
      <c r="J61" s="137"/>
      <c r="K61" s="17"/>
    </row>
    <row r="62" spans="2:11" x14ac:dyDescent="0.3">
      <c r="B62" s="395"/>
      <c r="C62" s="414" t="s">
        <v>85</v>
      </c>
      <c r="D62" s="430"/>
      <c r="E62" s="430"/>
      <c r="F62" s="431"/>
      <c r="G62" s="423"/>
      <c r="H62" s="380"/>
      <c r="I62" s="128"/>
      <c r="J62" s="137"/>
      <c r="K62" s="17"/>
    </row>
    <row r="63" spans="2:11" x14ac:dyDescent="0.3">
      <c r="B63" s="395"/>
      <c r="C63" s="414" t="s">
        <v>86</v>
      </c>
      <c r="D63" s="430"/>
      <c r="E63" s="430"/>
      <c r="F63" s="431"/>
      <c r="G63" s="423"/>
      <c r="H63" s="380"/>
      <c r="I63" s="128"/>
      <c r="J63" s="137"/>
      <c r="K63" s="17"/>
    </row>
    <row r="64" spans="2:11" x14ac:dyDescent="0.3">
      <c r="B64" s="395"/>
      <c r="C64" s="414" t="s">
        <v>87</v>
      </c>
      <c r="D64" s="430"/>
      <c r="E64" s="430"/>
      <c r="F64" s="431"/>
      <c r="G64" s="423"/>
      <c r="H64" s="380"/>
      <c r="I64" s="128"/>
      <c r="J64" s="137"/>
      <c r="K64" s="17"/>
    </row>
    <row r="65" spans="2:11" x14ac:dyDescent="0.3">
      <c r="B65" s="395"/>
      <c r="C65" s="414" t="s">
        <v>88</v>
      </c>
      <c r="D65" s="430"/>
      <c r="E65" s="430"/>
      <c r="F65" s="431"/>
      <c r="G65" s="423"/>
      <c r="H65" s="380"/>
      <c r="I65" s="128"/>
      <c r="J65" s="137"/>
      <c r="K65" s="17"/>
    </row>
    <row r="66" spans="2:11" x14ac:dyDescent="0.3">
      <c r="B66" s="395"/>
      <c r="C66" s="414" t="s">
        <v>89</v>
      </c>
      <c r="D66" s="430"/>
      <c r="E66" s="430"/>
      <c r="F66" s="431"/>
      <c r="G66" s="423"/>
      <c r="H66" s="380"/>
      <c r="I66" s="128"/>
      <c r="J66" s="137"/>
      <c r="K66" s="17"/>
    </row>
    <row r="67" spans="2:11" ht="17.25" thickBot="1" x14ac:dyDescent="0.35">
      <c r="B67" s="395"/>
      <c r="C67" s="415" t="s">
        <v>90</v>
      </c>
      <c r="D67" s="427"/>
      <c r="E67" s="427"/>
      <c r="F67" s="432"/>
      <c r="G67" s="423"/>
      <c r="H67" s="380"/>
      <c r="I67" s="128"/>
      <c r="J67" s="137"/>
      <c r="K67" s="17"/>
    </row>
    <row r="68" spans="2:11" ht="17.25" thickBot="1" x14ac:dyDescent="0.35">
      <c r="B68" s="395"/>
      <c r="C68" s="388"/>
      <c r="D68" s="388"/>
      <c r="E68" s="388"/>
      <c r="F68" s="388"/>
      <c r="G68" s="428"/>
      <c r="H68" s="380"/>
      <c r="I68" s="128"/>
      <c r="J68" s="137"/>
      <c r="K68" s="17"/>
    </row>
    <row r="69" spans="2:11" ht="18" thickBot="1" x14ac:dyDescent="0.4">
      <c r="B69" s="395"/>
      <c r="C69" s="913" t="s">
        <v>196</v>
      </c>
      <c r="D69" s="914"/>
      <c r="E69" s="914"/>
      <c r="F69" s="915"/>
      <c r="G69" s="423"/>
      <c r="H69" s="380"/>
      <c r="I69" s="128"/>
      <c r="J69" s="137"/>
      <c r="K69" s="17"/>
    </row>
    <row r="70" spans="2:11" ht="17.25" x14ac:dyDescent="0.35">
      <c r="B70" s="400"/>
      <c r="C70" s="398"/>
      <c r="D70" s="957" t="s">
        <v>48</v>
      </c>
      <c r="E70" s="955"/>
      <c r="F70" s="956"/>
      <c r="G70" s="428"/>
      <c r="H70" s="380"/>
      <c r="I70" s="128"/>
      <c r="J70" s="137"/>
      <c r="K70" s="17"/>
    </row>
    <row r="71" spans="2:11" x14ac:dyDescent="0.3">
      <c r="B71" s="395"/>
      <c r="C71" s="414" t="s">
        <v>195</v>
      </c>
      <c r="D71" s="944"/>
      <c r="E71" s="944"/>
      <c r="F71" s="945"/>
      <c r="G71" s="428"/>
      <c r="H71" s="380"/>
      <c r="I71" s="128"/>
      <c r="J71" s="137"/>
      <c r="K71" s="17"/>
    </row>
    <row r="72" spans="2:11" x14ac:dyDescent="0.3">
      <c r="B72" s="395"/>
      <c r="C72" s="414" t="s">
        <v>194</v>
      </c>
      <c r="D72" s="944"/>
      <c r="E72" s="944"/>
      <c r="F72" s="945"/>
      <c r="G72" s="428"/>
      <c r="H72" s="380"/>
      <c r="I72" s="128"/>
      <c r="J72" s="137"/>
      <c r="K72" s="17"/>
    </row>
    <row r="73" spans="2:11" x14ac:dyDescent="0.3">
      <c r="B73" s="395"/>
      <c r="C73" s="414" t="s">
        <v>308</v>
      </c>
      <c r="D73" s="944"/>
      <c r="E73" s="944"/>
      <c r="F73" s="945"/>
      <c r="G73" s="428"/>
      <c r="H73" s="380"/>
      <c r="I73" s="128"/>
      <c r="J73" s="137"/>
      <c r="K73" s="17"/>
    </row>
    <row r="74" spans="2:11" x14ac:dyDescent="0.3">
      <c r="B74" s="395"/>
      <c r="C74" s="414" t="s">
        <v>94</v>
      </c>
      <c r="D74" s="960" t="str">
        <f>IF(D71+D73=0,"",D71+D73)</f>
        <v/>
      </c>
      <c r="E74" s="960"/>
      <c r="F74" s="961"/>
      <c r="G74" s="428"/>
      <c r="H74" s="380"/>
      <c r="I74" s="129"/>
      <c r="J74" s="138"/>
      <c r="K74" s="17"/>
    </row>
    <row r="75" spans="2:11" x14ac:dyDescent="0.3">
      <c r="B75" s="395"/>
      <c r="C75" s="414" t="s">
        <v>193</v>
      </c>
      <c r="D75" s="944"/>
      <c r="E75" s="944"/>
      <c r="F75" s="945"/>
      <c r="G75" s="428"/>
      <c r="H75" s="380"/>
      <c r="I75" s="129"/>
      <c r="J75" s="138"/>
      <c r="K75" s="17"/>
    </row>
    <row r="76" spans="2:11" x14ac:dyDescent="0.3">
      <c r="B76" s="395"/>
      <c r="C76" s="414" t="s">
        <v>192</v>
      </c>
      <c r="D76" s="944"/>
      <c r="E76" s="944"/>
      <c r="F76" s="945"/>
      <c r="G76" s="428"/>
      <c r="H76" s="380"/>
      <c r="I76" s="129"/>
      <c r="J76" s="138"/>
      <c r="K76" s="17"/>
    </row>
    <row r="77" spans="2:11" x14ac:dyDescent="0.3">
      <c r="B77" s="395"/>
      <c r="C77" s="414" t="s">
        <v>191</v>
      </c>
      <c r="D77" s="944"/>
      <c r="E77" s="944"/>
      <c r="F77" s="945"/>
      <c r="G77" s="428"/>
      <c r="H77" s="380"/>
      <c r="I77" s="129"/>
      <c r="J77" s="138"/>
      <c r="K77" s="17"/>
    </row>
    <row r="78" spans="2:11" x14ac:dyDescent="0.3">
      <c r="B78" s="395"/>
      <c r="C78" s="414" t="s">
        <v>308</v>
      </c>
      <c r="D78" s="944"/>
      <c r="E78" s="944"/>
      <c r="F78" s="945"/>
      <c r="G78" s="428"/>
      <c r="H78" s="380"/>
      <c r="I78" s="129"/>
      <c r="J78" s="138"/>
      <c r="K78" s="17"/>
    </row>
    <row r="79" spans="2:11" ht="17.25" thickBot="1" x14ac:dyDescent="0.35">
      <c r="B79" s="395"/>
      <c r="C79" s="415" t="s">
        <v>94</v>
      </c>
      <c r="D79" s="958" t="str">
        <f>IF(D76+D78=0,"",D76+D78)</f>
        <v/>
      </c>
      <c r="E79" s="958"/>
      <c r="F79" s="959"/>
      <c r="G79" s="428"/>
      <c r="H79" s="380"/>
      <c r="I79" s="130"/>
      <c r="J79" s="137"/>
      <c r="K79" s="17"/>
    </row>
    <row r="80" spans="2:11" ht="17.25" thickBot="1" x14ac:dyDescent="0.35">
      <c r="B80" s="416"/>
      <c r="C80" s="405"/>
      <c r="D80" s="405"/>
      <c r="E80" s="405"/>
      <c r="F80" s="405"/>
      <c r="G80" s="433"/>
      <c r="H80" s="380"/>
      <c r="I80" s="130"/>
      <c r="J80" s="137"/>
      <c r="K80" s="17"/>
    </row>
    <row r="81" spans="1:11" x14ac:dyDescent="0.3">
      <c r="K81" s="17"/>
    </row>
    <row r="82" spans="1:11" s="16" customFormat="1" x14ac:dyDescent="0.3">
      <c r="A82" s="17"/>
      <c r="B82" s="17"/>
      <c r="C82" s="17"/>
      <c r="D82" s="17"/>
      <c r="E82" s="17"/>
      <c r="F82" s="17"/>
      <c r="G82" s="17"/>
      <c r="H82" s="17"/>
      <c r="I82" s="17"/>
      <c r="J82" s="17"/>
      <c r="K82"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6">
    <mergeCell ref="D35:F35"/>
    <mergeCell ref="D50:F50"/>
    <mergeCell ref="D58:F58"/>
    <mergeCell ref="D79:F79"/>
    <mergeCell ref="D71:F71"/>
    <mergeCell ref="D72:F72"/>
    <mergeCell ref="D73:F73"/>
    <mergeCell ref="D74:F74"/>
    <mergeCell ref="D78:F78"/>
    <mergeCell ref="D75:F75"/>
    <mergeCell ref="E2:F2"/>
    <mergeCell ref="B2:C2"/>
    <mergeCell ref="H4:I4"/>
    <mergeCell ref="D76:F76"/>
    <mergeCell ref="D77:F77"/>
    <mergeCell ref="F11:G11"/>
    <mergeCell ref="B13:G13"/>
    <mergeCell ref="C15:F15"/>
    <mergeCell ref="D70:F70"/>
    <mergeCell ref="C69:F69"/>
    <mergeCell ref="C25:F25"/>
    <mergeCell ref="C34:F34"/>
    <mergeCell ref="C49:F49"/>
    <mergeCell ref="C57:F57"/>
    <mergeCell ref="D16:F16"/>
    <mergeCell ref="D26:F26"/>
  </mergeCells>
  <phoneticPr fontId="26" type="noConversion"/>
  <conditionalFormatting sqref="D28:F32 D37:F47 D52:F55 D60:F67 D71:D74 D75:F75 D76:D79 D22:D23 D18:F21 D11">
    <cfRule type="expression" dxfId="63" priority="3" stopIfTrue="1">
      <formula>OR($I$5 = "Heating Only Central Heat Pump", $I$6 &lt;&gt; "Variable-Speed")</formula>
    </cfRule>
  </conditionalFormatting>
  <hyperlinks>
    <hyperlink ref="E2" location="Instructions!A1" display="Back to Instructions" xr:uid="{00000000-0004-0000-0900-000000000000}"/>
    <hyperlink ref="E2:F2" location="Instructions!A1" display="Back to Instructions tab" xr:uid="{00000000-0004-0000-0900-000001000000}"/>
  </hyperlinks>
  <pageMargins left="0.7" right="0.7" top="0.75" bottom="0.75" header="0.3" footer="0.3"/>
  <pageSetup orientation="portrait" horizontalDpi="200" verticalDpi="2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0070C0"/>
  </sheetPr>
  <dimension ref="A1:K153"/>
  <sheetViews>
    <sheetView showGridLines="0" showZeros="0" zoomScale="80" zoomScaleNormal="80" workbookViewId="0">
      <selection activeCell="E2" sqref="E2:F2"/>
    </sheetView>
  </sheetViews>
  <sheetFormatPr defaultColWidth="9.140625" defaultRowHeight="16.5" x14ac:dyDescent="0.3"/>
  <cols>
    <col min="1" max="1" width="5.7109375" style="5" customWidth="1"/>
    <col min="2" max="2" width="30.85546875" style="5" customWidth="1"/>
    <col min="3" max="3" width="70.140625" style="5" customWidth="1"/>
    <col min="4" max="6" width="14.7109375" style="5" customWidth="1"/>
    <col min="7" max="7" width="20.85546875" style="5" customWidth="1"/>
    <col min="8" max="8" width="22.7109375" style="5" customWidth="1"/>
    <col min="9" max="9" width="20" style="5" customWidth="1"/>
    <col min="10" max="10" width="6.28515625" style="110" customWidth="1"/>
    <col min="11" max="11" width="5.85546875" style="5" customWidth="1"/>
    <col min="12" max="16384" width="9.140625" style="5"/>
  </cols>
  <sheetData>
    <row r="1" spans="2:11" ht="17.25" thickBot="1" x14ac:dyDescent="0.35">
      <c r="J1" s="123"/>
      <c r="K1" s="17"/>
    </row>
    <row r="2" spans="2:11" s="1" customFormat="1" ht="18.75" thickBot="1" x14ac:dyDescent="0.4">
      <c r="B2" s="805" t="s">
        <v>622</v>
      </c>
      <c r="C2" s="806"/>
      <c r="E2" s="840" t="s">
        <v>553</v>
      </c>
      <c r="F2" s="840"/>
      <c r="G2" s="332"/>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Optional C Test Recorded Data</v>
      </c>
      <c r="H6" s="52" t="s">
        <v>155</v>
      </c>
      <c r="I6" s="338">
        <f>'General Info and Test Results'!C25</f>
        <v>0</v>
      </c>
      <c r="J6" s="124"/>
      <c r="K6" s="125"/>
    </row>
    <row r="7" spans="2:11" s="1" customFormat="1" ht="18" customHeight="1"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8" customHeight="1" thickBot="1" x14ac:dyDescent="0.35">
      <c r="B8" s="372" t="s">
        <v>143</v>
      </c>
      <c r="C8" s="373" t="str">
        <f>'Version Control'!C8</f>
        <v>[MM/DD/YYYY]</v>
      </c>
      <c r="G8" s="12"/>
      <c r="H8" s="8"/>
      <c r="J8" s="124"/>
      <c r="K8" s="125"/>
    </row>
    <row r="9" spans="2:11" s="1" customFormat="1" ht="18" customHeight="1" x14ac:dyDescent="0.3">
      <c r="B9" s="4"/>
      <c r="C9" s="232"/>
      <c r="G9" s="12"/>
      <c r="H9" s="8"/>
      <c r="J9" s="124"/>
      <c r="K9" s="125"/>
    </row>
    <row r="10" spans="2:11" s="1" customFormat="1" ht="18" customHeight="1" thickBot="1" x14ac:dyDescent="0.35">
      <c r="B10" s="112"/>
      <c r="C10" s="450"/>
      <c r="D10" s="451"/>
      <c r="E10" s="451"/>
      <c r="F10" s="451"/>
      <c r="G10" s="451"/>
      <c r="J10" s="124"/>
      <c r="K10" s="125"/>
    </row>
    <row r="11" spans="2:11" ht="18.75" thickBot="1" x14ac:dyDescent="0.4">
      <c r="B11" s="926" t="str">
        <f>IF(AND($I$6="Single-Speed",$I$7="Fixed Speed"),"'C Test' Data to be recorded","'C1 Test' Data to be recorded")</f>
        <v>'C1 Test' Data to be recorded</v>
      </c>
      <c r="C11" s="927"/>
      <c r="D11" s="927"/>
      <c r="E11" s="927"/>
      <c r="F11" s="927"/>
      <c r="G11" s="928"/>
      <c r="K11" s="17"/>
    </row>
    <row r="12" spans="2:11" ht="18" thickBot="1" x14ac:dyDescent="0.4">
      <c r="B12" s="383"/>
      <c r="C12" s="421"/>
      <c r="D12" s="421"/>
      <c r="E12" s="421"/>
      <c r="F12" s="421"/>
      <c r="G12" s="422"/>
      <c r="H12" s="134"/>
      <c r="K12" s="17"/>
    </row>
    <row r="13" spans="2:11" ht="18" thickBot="1" x14ac:dyDescent="0.4">
      <c r="B13" s="395"/>
      <c r="C13" s="913" t="s">
        <v>55</v>
      </c>
      <c r="D13" s="914"/>
      <c r="E13" s="914"/>
      <c r="F13" s="915"/>
      <c r="G13" s="423"/>
      <c r="I13" s="127"/>
      <c r="J13" s="136"/>
      <c r="K13" s="17"/>
    </row>
    <row r="14" spans="2:11" ht="17.25" x14ac:dyDescent="0.35">
      <c r="B14" s="395"/>
      <c r="C14" s="398"/>
      <c r="D14" s="957" t="s">
        <v>48</v>
      </c>
      <c r="E14" s="955"/>
      <c r="F14" s="956"/>
      <c r="G14" s="423"/>
      <c r="I14" s="127"/>
      <c r="J14" s="136"/>
      <c r="K14" s="17"/>
    </row>
    <row r="15" spans="2:11" ht="17.25" x14ac:dyDescent="0.35">
      <c r="B15" s="400"/>
      <c r="C15" s="395"/>
      <c r="D15" s="409" t="s">
        <v>56</v>
      </c>
      <c r="E15" s="409" t="s">
        <v>57</v>
      </c>
      <c r="F15" s="410" t="s">
        <v>58</v>
      </c>
      <c r="G15" s="423"/>
      <c r="I15" s="127"/>
      <c r="J15" s="136"/>
      <c r="K15" s="17"/>
    </row>
    <row r="16" spans="2:11" x14ac:dyDescent="0.3">
      <c r="B16" s="395"/>
      <c r="C16" s="386" t="s">
        <v>442</v>
      </c>
      <c r="D16" s="403"/>
      <c r="E16" s="403"/>
      <c r="F16" s="390"/>
      <c r="G16" s="423"/>
      <c r="I16" s="128"/>
      <c r="J16" s="137"/>
      <c r="K16" s="17"/>
    </row>
    <row r="17" spans="2:11" x14ac:dyDescent="0.3">
      <c r="B17" s="395"/>
      <c r="C17" s="386" t="s">
        <v>443</v>
      </c>
      <c r="D17" s="403"/>
      <c r="E17" s="403"/>
      <c r="F17" s="390"/>
      <c r="G17" s="423"/>
      <c r="I17" s="128"/>
      <c r="J17" s="137"/>
      <c r="K17" s="17"/>
    </row>
    <row r="18" spans="2:11" x14ac:dyDescent="0.3">
      <c r="B18" s="395"/>
      <c r="C18" s="386" t="s">
        <v>59</v>
      </c>
      <c r="D18" s="403"/>
      <c r="E18" s="403"/>
      <c r="F18" s="390"/>
      <c r="G18" s="423"/>
      <c r="I18" s="128"/>
      <c r="J18" s="137"/>
      <c r="K18" s="17"/>
    </row>
    <row r="19" spans="2:11" x14ac:dyDescent="0.3">
      <c r="B19" s="395"/>
      <c r="C19" s="386" t="s">
        <v>60</v>
      </c>
      <c r="D19" s="403"/>
      <c r="E19" s="403"/>
      <c r="F19" s="390"/>
      <c r="G19" s="423"/>
      <c r="I19" s="128"/>
      <c r="J19" s="137"/>
      <c r="K19" s="17"/>
    </row>
    <row r="20" spans="2:11" x14ac:dyDescent="0.3">
      <c r="B20" s="395"/>
      <c r="C20" s="386" t="s">
        <v>445</v>
      </c>
      <c r="D20" s="403"/>
      <c r="E20" s="388"/>
      <c r="F20" s="399"/>
      <c r="G20" s="423"/>
      <c r="I20" s="128"/>
      <c r="J20" s="137"/>
      <c r="K20" s="17"/>
    </row>
    <row r="21" spans="2:11" ht="17.25" thickBot="1" x14ac:dyDescent="0.35">
      <c r="B21" s="395"/>
      <c r="C21" s="391" t="s">
        <v>453</v>
      </c>
      <c r="D21" s="404"/>
      <c r="E21" s="405"/>
      <c r="F21" s="406"/>
      <c r="G21" s="423"/>
      <c r="I21" s="128"/>
      <c r="J21" s="137"/>
      <c r="K21" s="17"/>
    </row>
    <row r="22" spans="2:11" ht="17.25" thickBot="1" x14ac:dyDescent="0.35">
      <c r="B22" s="395"/>
      <c r="C22" s="407"/>
      <c r="D22" s="388"/>
      <c r="E22" s="388"/>
      <c r="F22" s="388"/>
      <c r="G22" s="428"/>
      <c r="I22" s="128"/>
      <c r="J22" s="137"/>
      <c r="K22" s="17"/>
    </row>
    <row r="23" spans="2:11" ht="18" thickBot="1" x14ac:dyDescent="0.4">
      <c r="B23" s="395"/>
      <c r="C23" s="913" t="s">
        <v>61</v>
      </c>
      <c r="D23" s="914"/>
      <c r="E23" s="914"/>
      <c r="F23" s="915"/>
      <c r="G23" s="423"/>
      <c r="I23" s="128"/>
      <c r="J23" s="137"/>
      <c r="K23" s="17"/>
    </row>
    <row r="24" spans="2:11" ht="17.25" x14ac:dyDescent="0.35">
      <c r="B24" s="395"/>
      <c r="C24" s="429"/>
      <c r="D24" s="957" t="s">
        <v>48</v>
      </c>
      <c r="E24" s="955"/>
      <c r="F24" s="956"/>
      <c r="G24" s="423"/>
      <c r="I24" s="128"/>
      <c r="J24" s="137"/>
      <c r="K24" s="17"/>
    </row>
    <row r="25" spans="2:11" ht="17.25" x14ac:dyDescent="0.35">
      <c r="B25" s="400"/>
      <c r="C25" s="408"/>
      <c r="D25" s="409" t="s">
        <v>56</v>
      </c>
      <c r="E25" s="409" t="s">
        <v>57</v>
      </c>
      <c r="F25" s="410" t="s">
        <v>58</v>
      </c>
      <c r="G25" s="423"/>
      <c r="I25" s="128"/>
      <c r="J25" s="137"/>
      <c r="K25" s="17"/>
    </row>
    <row r="26" spans="2:11" x14ac:dyDescent="0.3">
      <c r="B26" s="395"/>
      <c r="C26" s="386" t="s">
        <v>62</v>
      </c>
      <c r="D26" s="403"/>
      <c r="E26" s="403"/>
      <c r="F26" s="390"/>
      <c r="G26" s="423"/>
      <c r="I26" s="128"/>
      <c r="J26" s="137"/>
      <c r="K26" s="17"/>
    </row>
    <row r="27" spans="2:11" x14ac:dyDescent="0.3">
      <c r="B27" s="395"/>
      <c r="C27" s="386" t="s">
        <v>63</v>
      </c>
      <c r="D27" s="403"/>
      <c r="E27" s="403"/>
      <c r="F27" s="390"/>
      <c r="G27" s="423"/>
      <c r="I27" s="128"/>
      <c r="J27" s="137"/>
      <c r="K27" s="17"/>
    </row>
    <row r="28" spans="2:11" x14ac:dyDescent="0.3">
      <c r="B28" s="395"/>
      <c r="C28" s="386" t="s">
        <v>64</v>
      </c>
      <c r="D28" s="403"/>
      <c r="E28" s="403"/>
      <c r="F28" s="390"/>
      <c r="G28" s="423"/>
      <c r="I28" s="128"/>
      <c r="J28" s="137"/>
      <c r="K28" s="17"/>
    </row>
    <row r="29" spans="2:11" x14ac:dyDescent="0.3">
      <c r="B29" s="395"/>
      <c r="C29" s="386" t="s">
        <v>422</v>
      </c>
      <c r="D29" s="403"/>
      <c r="E29" s="403"/>
      <c r="F29" s="390"/>
      <c r="G29" s="423"/>
      <c r="I29" s="128"/>
      <c r="J29" s="137"/>
      <c r="K29" s="17"/>
    </row>
    <row r="30" spans="2:11" ht="17.25" thickBot="1" x14ac:dyDescent="0.35">
      <c r="B30" s="395"/>
      <c r="C30" s="391" t="s">
        <v>437</v>
      </c>
      <c r="D30" s="404"/>
      <c r="E30" s="404"/>
      <c r="F30" s="392"/>
      <c r="G30" s="423"/>
      <c r="I30" s="128"/>
      <c r="J30" s="137"/>
      <c r="K30" s="17"/>
    </row>
    <row r="31" spans="2:11" ht="17.25" thickBot="1" x14ac:dyDescent="0.35">
      <c r="B31" s="395"/>
      <c r="C31" s="388"/>
      <c r="D31" s="388"/>
      <c r="E31" s="388"/>
      <c r="F31" s="388"/>
      <c r="G31" s="428"/>
      <c r="I31" s="128"/>
      <c r="J31" s="137"/>
      <c r="K31" s="17"/>
    </row>
    <row r="32" spans="2:11" ht="18" thickBot="1" x14ac:dyDescent="0.4">
      <c r="B32" s="395"/>
      <c r="C32" s="913" t="s">
        <v>65</v>
      </c>
      <c r="D32" s="914"/>
      <c r="E32" s="914"/>
      <c r="F32" s="915"/>
      <c r="G32" s="423"/>
      <c r="I32" s="128"/>
      <c r="J32" s="137"/>
      <c r="K32" s="17"/>
    </row>
    <row r="33" spans="2:11" ht="17.25" x14ac:dyDescent="0.35">
      <c r="B33" s="395"/>
      <c r="C33" s="398"/>
      <c r="D33" s="957" t="s">
        <v>48</v>
      </c>
      <c r="E33" s="955"/>
      <c r="F33" s="956"/>
      <c r="G33" s="423"/>
      <c r="I33" s="128"/>
      <c r="J33" s="137"/>
      <c r="K33" s="17"/>
    </row>
    <row r="34" spans="2:11" ht="17.25" x14ac:dyDescent="0.35">
      <c r="B34" s="400"/>
      <c r="C34" s="395"/>
      <c r="D34" s="409" t="s">
        <v>56</v>
      </c>
      <c r="E34" s="409" t="s">
        <v>57</v>
      </c>
      <c r="F34" s="410" t="s">
        <v>58</v>
      </c>
      <c r="G34" s="423"/>
      <c r="I34" s="128"/>
      <c r="J34" s="137"/>
      <c r="K34" s="17"/>
    </row>
    <row r="35" spans="2:11" x14ac:dyDescent="0.3">
      <c r="B35" s="395"/>
      <c r="C35" s="386" t="s">
        <v>66</v>
      </c>
      <c r="D35" s="403"/>
      <c r="E35" s="403"/>
      <c r="F35" s="390"/>
      <c r="G35" s="423"/>
      <c r="I35" s="128"/>
      <c r="J35" s="137"/>
      <c r="K35" s="17"/>
    </row>
    <row r="36" spans="2:11" x14ac:dyDescent="0.3">
      <c r="B36" s="395"/>
      <c r="C36" s="386" t="s">
        <v>67</v>
      </c>
      <c r="D36" s="403"/>
      <c r="E36" s="403"/>
      <c r="F36" s="390"/>
      <c r="G36" s="423"/>
      <c r="I36" s="128"/>
      <c r="J36" s="137"/>
      <c r="K36" s="17"/>
    </row>
    <row r="37" spans="2:11" x14ac:dyDescent="0.3">
      <c r="B37" s="395"/>
      <c r="C37" s="386" t="s">
        <v>68</v>
      </c>
      <c r="D37" s="403"/>
      <c r="E37" s="403"/>
      <c r="F37" s="390"/>
      <c r="G37" s="423"/>
      <c r="I37" s="128"/>
      <c r="J37" s="137"/>
      <c r="K37" s="17"/>
    </row>
    <row r="38" spans="2:11" x14ac:dyDescent="0.3">
      <c r="B38" s="395"/>
      <c r="C38" s="386" t="s">
        <v>69</v>
      </c>
      <c r="D38" s="403"/>
      <c r="E38" s="403"/>
      <c r="F38" s="390"/>
      <c r="G38" s="423"/>
      <c r="I38" s="128"/>
      <c r="J38" s="137"/>
      <c r="K38" s="17"/>
    </row>
    <row r="39" spans="2:11" x14ac:dyDescent="0.3">
      <c r="B39" s="395"/>
      <c r="C39" s="386" t="s">
        <v>70</v>
      </c>
      <c r="D39" s="403"/>
      <c r="E39" s="403"/>
      <c r="F39" s="390"/>
      <c r="G39" s="423"/>
      <c r="I39" s="128"/>
      <c r="J39" s="137"/>
      <c r="K39" s="17"/>
    </row>
    <row r="40" spans="2:11" x14ac:dyDescent="0.3">
      <c r="B40" s="395"/>
      <c r="C40" s="386" t="s">
        <v>71</v>
      </c>
      <c r="D40" s="403"/>
      <c r="E40" s="403"/>
      <c r="F40" s="390"/>
      <c r="G40" s="423"/>
      <c r="I40" s="128"/>
      <c r="J40" s="137"/>
      <c r="K40" s="17"/>
    </row>
    <row r="41" spans="2:11" x14ac:dyDescent="0.3">
      <c r="B41" s="395"/>
      <c r="C41" s="386" t="s">
        <v>72</v>
      </c>
      <c r="D41" s="403"/>
      <c r="E41" s="403"/>
      <c r="F41" s="390"/>
      <c r="G41" s="423"/>
      <c r="I41" s="128"/>
      <c r="J41" s="137"/>
      <c r="K41" s="17"/>
    </row>
    <row r="42" spans="2:11" x14ac:dyDescent="0.3">
      <c r="B42" s="395"/>
      <c r="C42" s="386" t="s">
        <v>73</v>
      </c>
      <c r="D42" s="403"/>
      <c r="E42" s="403"/>
      <c r="F42" s="390"/>
      <c r="G42" s="423"/>
      <c r="I42" s="128"/>
      <c r="J42" s="137"/>
      <c r="K42" s="17"/>
    </row>
    <row r="43" spans="2:11" x14ac:dyDescent="0.3">
      <c r="B43" s="395"/>
      <c r="C43" s="386" t="s">
        <v>74</v>
      </c>
      <c r="D43" s="403"/>
      <c r="E43" s="403"/>
      <c r="F43" s="390"/>
      <c r="G43" s="423"/>
      <c r="I43" s="128"/>
      <c r="J43" s="137"/>
      <c r="K43" s="17"/>
    </row>
    <row r="44" spans="2:11" x14ac:dyDescent="0.3">
      <c r="B44" s="395"/>
      <c r="C44" s="386" t="s">
        <v>75</v>
      </c>
      <c r="D44" s="403"/>
      <c r="E44" s="403"/>
      <c r="F44" s="390"/>
      <c r="G44" s="423"/>
      <c r="I44" s="128"/>
      <c r="J44" s="137"/>
      <c r="K44" s="17"/>
    </row>
    <row r="45" spans="2:11" ht="17.25" thickBot="1" x14ac:dyDescent="0.35">
      <c r="B45" s="395"/>
      <c r="C45" s="391" t="s">
        <v>76</v>
      </c>
      <c r="D45" s="404"/>
      <c r="E45" s="404"/>
      <c r="F45" s="392"/>
      <c r="G45" s="423"/>
      <c r="I45" s="128"/>
      <c r="J45" s="137"/>
      <c r="K45" s="17"/>
    </row>
    <row r="46" spans="2:11" ht="17.25" thickBot="1" x14ac:dyDescent="0.35">
      <c r="B46" s="395"/>
      <c r="C46" s="388"/>
      <c r="D46" s="388"/>
      <c r="E46" s="388"/>
      <c r="F46" s="388"/>
      <c r="G46" s="428"/>
      <c r="I46" s="128"/>
      <c r="J46" s="137"/>
      <c r="K46" s="17"/>
    </row>
    <row r="47" spans="2:11" ht="18" thickBot="1" x14ac:dyDescent="0.4">
      <c r="B47" s="395"/>
      <c r="C47" s="913" t="s">
        <v>77</v>
      </c>
      <c r="D47" s="914"/>
      <c r="E47" s="914"/>
      <c r="F47" s="915"/>
      <c r="G47" s="423"/>
      <c r="I47" s="128"/>
      <c r="J47" s="137"/>
      <c r="K47" s="17"/>
    </row>
    <row r="48" spans="2:11" ht="17.25" x14ac:dyDescent="0.35">
      <c r="B48" s="395"/>
      <c r="C48" s="398"/>
      <c r="D48" s="957" t="s">
        <v>48</v>
      </c>
      <c r="E48" s="955"/>
      <c r="F48" s="956"/>
      <c r="G48" s="423"/>
      <c r="I48" s="128"/>
      <c r="J48" s="137"/>
      <c r="K48" s="17"/>
    </row>
    <row r="49" spans="2:11" ht="17.25" x14ac:dyDescent="0.35">
      <c r="B49" s="400"/>
      <c r="C49" s="395"/>
      <c r="D49" s="409" t="s">
        <v>56</v>
      </c>
      <c r="E49" s="409" t="s">
        <v>57</v>
      </c>
      <c r="F49" s="410" t="s">
        <v>58</v>
      </c>
      <c r="G49" s="423"/>
      <c r="I49" s="128"/>
      <c r="J49" s="137"/>
      <c r="K49" s="17"/>
    </row>
    <row r="50" spans="2:11" x14ac:dyDescent="0.3">
      <c r="B50" s="395"/>
      <c r="C50" s="386" t="s">
        <v>306</v>
      </c>
      <c r="D50" s="403"/>
      <c r="E50" s="403"/>
      <c r="F50" s="390"/>
      <c r="G50" s="423"/>
      <c r="I50" s="128"/>
      <c r="J50" s="137"/>
      <c r="K50" s="17"/>
    </row>
    <row r="51" spans="2:11" x14ac:dyDescent="0.3">
      <c r="B51" s="395"/>
      <c r="C51" s="386" t="s">
        <v>307</v>
      </c>
      <c r="D51" s="403"/>
      <c r="E51" s="403"/>
      <c r="F51" s="390"/>
      <c r="G51" s="423"/>
      <c r="I51" s="128"/>
      <c r="J51" s="137"/>
      <c r="K51" s="17"/>
    </row>
    <row r="52" spans="2:11" x14ac:dyDescent="0.3">
      <c r="B52" s="395"/>
      <c r="C52" s="386" t="s">
        <v>80</v>
      </c>
      <c r="D52" s="403"/>
      <c r="E52" s="403"/>
      <c r="F52" s="390"/>
      <c r="G52" s="423"/>
      <c r="I52" s="128"/>
      <c r="J52" s="137"/>
      <c r="K52" s="17"/>
    </row>
    <row r="53" spans="2:11" x14ac:dyDescent="0.3">
      <c r="B53" s="395"/>
      <c r="C53" s="386" t="s">
        <v>81</v>
      </c>
      <c r="D53" s="403"/>
      <c r="E53" s="403"/>
      <c r="F53" s="390"/>
      <c r="G53" s="423"/>
      <c r="I53" s="128"/>
      <c r="J53" s="137"/>
      <c r="K53" s="17"/>
    </row>
    <row r="54" spans="2:11" ht="17.25" thickBot="1" x14ac:dyDescent="0.35">
      <c r="B54" s="395"/>
      <c r="C54" s="412" t="s">
        <v>438</v>
      </c>
      <c r="D54" s="404"/>
      <c r="E54" s="404"/>
      <c r="F54" s="392"/>
      <c r="G54" s="423"/>
      <c r="K54" s="17"/>
    </row>
    <row r="55" spans="2:11" ht="17.25" thickBot="1" x14ac:dyDescent="0.35">
      <c r="B55" s="395"/>
      <c r="C55" s="388"/>
      <c r="D55" s="388"/>
      <c r="E55" s="388"/>
      <c r="F55" s="388"/>
      <c r="G55" s="428"/>
      <c r="I55" s="128"/>
      <c r="J55" s="137"/>
      <c r="K55" s="17"/>
    </row>
    <row r="56" spans="2:11" ht="18" thickBot="1" x14ac:dyDescent="0.4">
      <c r="B56" s="395"/>
      <c r="C56" s="913" t="s">
        <v>82</v>
      </c>
      <c r="D56" s="914"/>
      <c r="E56" s="914"/>
      <c r="F56" s="915"/>
      <c r="G56" s="423"/>
      <c r="I56" s="128"/>
      <c r="J56" s="137"/>
      <c r="K56" s="17"/>
    </row>
    <row r="57" spans="2:11" ht="17.25" x14ac:dyDescent="0.35">
      <c r="B57" s="395"/>
      <c r="C57" s="398"/>
      <c r="D57" s="957" t="s">
        <v>48</v>
      </c>
      <c r="E57" s="955"/>
      <c r="F57" s="956"/>
      <c r="G57" s="423"/>
      <c r="I57" s="128"/>
      <c r="J57" s="137"/>
      <c r="K57" s="17"/>
    </row>
    <row r="58" spans="2:11" ht="17.25" x14ac:dyDescent="0.35">
      <c r="B58" s="413"/>
      <c r="C58" s="453"/>
      <c r="D58" s="409" t="s">
        <v>56</v>
      </c>
      <c r="E58" s="409" t="s">
        <v>57</v>
      </c>
      <c r="F58" s="410" t="s">
        <v>58</v>
      </c>
      <c r="G58" s="423"/>
      <c r="I58" s="128"/>
      <c r="J58" s="137"/>
      <c r="K58" s="17"/>
    </row>
    <row r="59" spans="2:11" x14ac:dyDescent="0.3">
      <c r="B59" s="395"/>
      <c r="C59" s="386" t="s">
        <v>83</v>
      </c>
      <c r="D59" s="403"/>
      <c r="E59" s="403"/>
      <c r="F59" s="390"/>
      <c r="G59" s="423"/>
      <c r="I59" s="128"/>
      <c r="J59" s="137"/>
      <c r="K59" s="17"/>
    </row>
    <row r="60" spans="2:11" x14ac:dyDescent="0.3">
      <c r="B60" s="395"/>
      <c r="C60" s="386" t="s">
        <v>84</v>
      </c>
      <c r="D60" s="403"/>
      <c r="E60" s="403"/>
      <c r="F60" s="390"/>
      <c r="G60" s="423"/>
      <c r="I60" s="128"/>
      <c r="J60" s="137"/>
      <c r="K60" s="17"/>
    </row>
    <row r="61" spans="2:11" x14ac:dyDescent="0.3">
      <c r="B61" s="395"/>
      <c r="C61" s="386" t="s">
        <v>85</v>
      </c>
      <c r="D61" s="403"/>
      <c r="E61" s="403"/>
      <c r="F61" s="390"/>
      <c r="G61" s="423"/>
      <c r="I61" s="128"/>
      <c r="J61" s="137"/>
      <c r="K61" s="17"/>
    </row>
    <row r="62" spans="2:11" x14ac:dyDescent="0.3">
      <c r="B62" s="395"/>
      <c r="C62" s="386" t="s">
        <v>86</v>
      </c>
      <c r="D62" s="403"/>
      <c r="E62" s="403"/>
      <c r="F62" s="390"/>
      <c r="G62" s="423"/>
      <c r="I62" s="128"/>
      <c r="J62" s="137"/>
      <c r="K62" s="17"/>
    </row>
    <row r="63" spans="2:11" x14ac:dyDescent="0.3">
      <c r="B63" s="395"/>
      <c r="C63" s="386" t="s">
        <v>87</v>
      </c>
      <c r="D63" s="403"/>
      <c r="E63" s="403"/>
      <c r="F63" s="390"/>
      <c r="G63" s="423"/>
      <c r="I63" s="128"/>
      <c r="J63" s="137"/>
      <c r="K63" s="17"/>
    </row>
    <row r="64" spans="2:11" x14ac:dyDescent="0.3">
      <c r="B64" s="395"/>
      <c r="C64" s="386" t="s">
        <v>88</v>
      </c>
      <c r="D64" s="403"/>
      <c r="E64" s="403"/>
      <c r="F64" s="390"/>
      <c r="G64" s="423"/>
      <c r="I64" s="128"/>
      <c r="J64" s="137"/>
      <c r="K64" s="17"/>
    </row>
    <row r="65" spans="2:11" x14ac:dyDescent="0.3">
      <c r="B65" s="395"/>
      <c r="C65" s="386" t="s">
        <v>89</v>
      </c>
      <c r="D65" s="403"/>
      <c r="E65" s="403"/>
      <c r="F65" s="390"/>
      <c r="G65" s="423"/>
      <c r="I65" s="128"/>
      <c r="J65" s="137"/>
      <c r="K65" s="17"/>
    </row>
    <row r="66" spans="2:11" ht="17.25" thickBot="1" x14ac:dyDescent="0.35">
      <c r="B66" s="395"/>
      <c r="C66" s="391" t="s">
        <v>90</v>
      </c>
      <c r="D66" s="404"/>
      <c r="E66" s="404"/>
      <c r="F66" s="392"/>
      <c r="G66" s="423"/>
      <c r="I66" s="128"/>
      <c r="J66" s="137"/>
      <c r="K66" s="17"/>
    </row>
    <row r="67" spans="2:11" ht="17.25" thickBot="1" x14ac:dyDescent="0.35">
      <c r="B67" s="395"/>
      <c r="C67" s="388"/>
      <c r="D67" s="388"/>
      <c r="E67" s="388"/>
      <c r="F67" s="417"/>
      <c r="G67" s="428"/>
      <c r="I67" s="128"/>
      <c r="J67" s="137"/>
      <c r="K67" s="17"/>
    </row>
    <row r="68" spans="2:11" ht="18" thickBot="1" x14ac:dyDescent="0.4">
      <c r="B68" s="395"/>
      <c r="C68" s="913" t="s">
        <v>196</v>
      </c>
      <c r="D68" s="914"/>
      <c r="E68" s="914"/>
      <c r="F68" s="915"/>
      <c r="G68" s="423"/>
      <c r="I68" s="128"/>
      <c r="J68" s="137"/>
      <c r="K68" s="17"/>
    </row>
    <row r="69" spans="2:11" ht="17.25" x14ac:dyDescent="0.35">
      <c r="B69" s="400"/>
      <c r="C69" s="398"/>
      <c r="D69" s="957" t="s">
        <v>48</v>
      </c>
      <c r="E69" s="955"/>
      <c r="F69" s="956"/>
      <c r="G69" s="428"/>
      <c r="I69" s="128"/>
      <c r="J69" s="137"/>
      <c r="K69" s="17"/>
    </row>
    <row r="70" spans="2:11" x14ac:dyDescent="0.3">
      <c r="B70" s="395"/>
      <c r="C70" s="386" t="s">
        <v>195</v>
      </c>
      <c r="D70" s="921"/>
      <c r="E70" s="921"/>
      <c r="F70" s="922"/>
      <c r="G70" s="428"/>
      <c r="I70" s="128"/>
      <c r="J70" s="137"/>
      <c r="K70" s="17"/>
    </row>
    <row r="71" spans="2:11" x14ac:dyDescent="0.3">
      <c r="B71" s="395"/>
      <c r="C71" s="386" t="s">
        <v>194</v>
      </c>
      <c r="D71" s="921"/>
      <c r="E71" s="921"/>
      <c r="F71" s="922"/>
      <c r="G71" s="428"/>
      <c r="I71" s="128"/>
      <c r="J71" s="137"/>
      <c r="K71" s="17"/>
    </row>
    <row r="72" spans="2:11" x14ac:dyDescent="0.3">
      <c r="B72" s="395"/>
      <c r="C72" s="386" t="s">
        <v>308</v>
      </c>
      <c r="D72" s="921"/>
      <c r="E72" s="921"/>
      <c r="F72" s="922"/>
      <c r="G72" s="428"/>
      <c r="I72" s="128"/>
      <c r="J72" s="137"/>
      <c r="K72" s="17"/>
    </row>
    <row r="73" spans="2:11" x14ac:dyDescent="0.3">
      <c r="B73" s="395"/>
      <c r="C73" s="386" t="s">
        <v>452</v>
      </c>
      <c r="D73" s="946" t="str">
        <f>IF(D71+D72=0,"",D71+D72)</f>
        <v/>
      </c>
      <c r="E73" s="946"/>
      <c r="F73" s="947"/>
      <c r="G73" s="428"/>
      <c r="I73" s="129"/>
      <c r="J73" s="138"/>
      <c r="K73" s="17"/>
    </row>
    <row r="74" spans="2:11" x14ac:dyDescent="0.3">
      <c r="B74" s="395"/>
      <c r="C74" s="386" t="s">
        <v>193</v>
      </c>
      <c r="D74" s="921"/>
      <c r="E74" s="921"/>
      <c r="F74" s="922"/>
      <c r="G74" s="428"/>
      <c r="I74" s="129"/>
      <c r="J74" s="138"/>
      <c r="K74" s="17"/>
    </row>
    <row r="75" spans="2:11" x14ac:dyDescent="0.3">
      <c r="B75" s="395"/>
      <c r="C75" s="386" t="s">
        <v>192</v>
      </c>
      <c r="D75" s="921"/>
      <c r="E75" s="921"/>
      <c r="F75" s="922"/>
      <c r="G75" s="428"/>
      <c r="I75" s="129"/>
      <c r="J75" s="138"/>
      <c r="K75" s="17"/>
    </row>
    <row r="76" spans="2:11" x14ac:dyDescent="0.3">
      <c r="B76" s="395"/>
      <c r="C76" s="386" t="s">
        <v>191</v>
      </c>
      <c r="D76" s="921"/>
      <c r="E76" s="921"/>
      <c r="F76" s="922"/>
      <c r="G76" s="428"/>
      <c r="I76" s="129"/>
      <c r="J76" s="138"/>
      <c r="K76" s="17"/>
    </row>
    <row r="77" spans="2:11" x14ac:dyDescent="0.3">
      <c r="B77" s="395"/>
      <c r="C77" s="386" t="s">
        <v>308</v>
      </c>
      <c r="D77" s="921"/>
      <c r="E77" s="921"/>
      <c r="F77" s="922"/>
      <c r="G77" s="428"/>
      <c r="I77" s="129"/>
      <c r="J77" s="138"/>
      <c r="K77" s="17"/>
    </row>
    <row r="78" spans="2:11" ht="17.25" thickBot="1" x14ac:dyDescent="0.35">
      <c r="B78" s="395"/>
      <c r="C78" s="391" t="s">
        <v>452</v>
      </c>
      <c r="D78" s="950" t="str">
        <f>IF(D76+D77=0,"",D76+D77)</f>
        <v/>
      </c>
      <c r="E78" s="950"/>
      <c r="F78" s="951"/>
      <c r="G78" s="428"/>
      <c r="I78" s="130"/>
      <c r="J78" s="137"/>
      <c r="K78" s="17"/>
    </row>
    <row r="79" spans="2:11" ht="17.25" thickBot="1" x14ac:dyDescent="0.35">
      <c r="B79" s="416"/>
      <c r="C79" s="405"/>
      <c r="D79" s="405"/>
      <c r="E79" s="405"/>
      <c r="F79" s="405"/>
      <c r="G79" s="433"/>
      <c r="I79" s="130"/>
      <c r="J79" s="137"/>
      <c r="K79" s="17"/>
    </row>
    <row r="80" spans="2:11" ht="17.25" thickBot="1" x14ac:dyDescent="0.35">
      <c r="B80" s="388"/>
      <c r="C80" s="388"/>
      <c r="D80" s="388"/>
      <c r="E80" s="388"/>
      <c r="F80" s="388"/>
      <c r="G80" s="434"/>
      <c r="I80" s="130"/>
      <c r="J80" s="137"/>
      <c r="K80" s="17"/>
    </row>
    <row r="81" spans="2:11" ht="18.75" thickBot="1" x14ac:dyDescent="0.4">
      <c r="B81" s="939" t="s">
        <v>423</v>
      </c>
      <c r="C81" s="940"/>
      <c r="D81" s="940"/>
      <c r="E81" s="940"/>
      <c r="F81" s="940"/>
      <c r="G81" s="941"/>
      <c r="I81" s="130"/>
      <c r="J81" s="137"/>
      <c r="K81" s="17"/>
    </row>
    <row r="82" spans="2:11" ht="17.25" x14ac:dyDescent="0.35">
      <c r="B82" s="400"/>
      <c r="C82" s="388"/>
      <c r="D82" s="388"/>
      <c r="E82" s="388"/>
      <c r="F82" s="388"/>
      <c r="G82" s="422"/>
      <c r="K82" s="17"/>
    </row>
    <row r="83" spans="2:11" x14ac:dyDescent="0.3">
      <c r="B83" s="395"/>
      <c r="C83" s="388"/>
      <c r="D83" s="452"/>
      <c r="E83" s="388"/>
      <c r="F83" s="388"/>
      <c r="G83" s="428"/>
      <c r="K83" s="17"/>
    </row>
    <row r="84" spans="2:11" ht="17.25" thickBot="1" x14ac:dyDescent="0.35">
      <c r="B84" s="395"/>
      <c r="C84" s="388"/>
      <c r="D84" s="420"/>
      <c r="E84" s="388"/>
      <c r="F84" s="405"/>
      <c r="G84" s="428"/>
      <c r="K84" s="17"/>
    </row>
    <row r="85" spans="2:11" ht="18" thickBot="1" x14ac:dyDescent="0.4">
      <c r="B85" s="395"/>
      <c r="C85" s="913" t="s">
        <v>55</v>
      </c>
      <c r="D85" s="914"/>
      <c r="E85" s="914"/>
      <c r="F85" s="915"/>
      <c r="G85" s="423"/>
      <c r="K85" s="17"/>
    </row>
    <row r="86" spans="2:11" ht="17.25" x14ac:dyDescent="0.35">
      <c r="B86" s="395"/>
      <c r="C86" s="398"/>
      <c r="D86" s="957" t="s">
        <v>48</v>
      </c>
      <c r="E86" s="955"/>
      <c r="F86" s="956"/>
      <c r="G86" s="423"/>
      <c r="K86" s="17"/>
    </row>
    <row r="87" spans="2:11" ht="17.25" x14ac:dyDescent="0.35">
      <c r="B87" s="400"/>
      <c r="C87" s="395"/>
      <c r="D87" s="409" t="s">
        <v>56</v>
      </c>
      <c r="E87" s="409" t="s">
        <v>57</v>
      </c>
      <c r="F87" s="410" t="s">
        <v>58</v>
      </c>
      <c r="G87" s="423"/>
      <c r="K87" s="17"/>
    </row>
    <row r="88" spans="2:11" x14ac:dyDescent="0.3">
      <c r="B88" s="395"/>
      <c r="C88" s="386" t="s">
        <v>442</v>
      </c>
      <c r="D88" s="436"/>
      <c r="E88" s="454"/>
      <c r="F88" s="390"/>
      <c r="G88" s="423"/>
      <c r="K88" s="17"/>
    </row>
    <row r="89" spans="2:11" x14ac:dyDescent="0.3">
      <c r="B89" s="395"/>
      <c r="C89" s="386" t="s">
        <v>443</v>
      </c>
      <c r="D89" s="403"/>
      <c r="E89" s="403"/>
      <c r="F89" s="390"/>
      <c r="G89" s="423"/>
      <c r="K89" s="17"/>
    </row>
    <row r="90" spans="2:11" x14ac:dyDescent="0.3">
      <c r="B90" s="395"/>
      <c r="C90" s="386" t="s">
        <v>59</v>
      </c>
      <c r="D90" s="403"/>
      <c r="E90" s="403"/>
      <c r="F90" s="390"/>
      <c r="G90" s="423"/>
      <c r="K90" s="17"/>
    </row>
    <row r="91" spans="2:11" x14ac:dyDescent="0.3">
      <c r="B91" s="395"/>
      <c r="C91" s="386" t="s">
        <v>60</v>
      </c>
      <c r="D91" s="403"/>
      <c r="E91" s="403"/>
      <c r="F91" s="390"/>
      <c r="G91" s="423"/>
      <c r="K91" s="17"/>
    </row>
    <row r="92" spans="2:11" x14ac:dyDescent="0.3">
      <c r="B92" s="395"/>
      <c r="C92" s="386" t="s">
        <v>445</v>
      </c>
      <c r="D92" s="403"/>
      <c r="E92" s="388"/>
      <c r="F92" s="399"/>
      <c r="G92" s="423"/>
      <c r="I92" s="128"/>
      <c r="J92" s="137"/>
      <c r="K92" s="17"/>
    </row>
    <row r="93" spans="2:11" ht="17.25" thickBot="1" x14ac:dyDescent="0.35">
      <c r="B93" s="395"/>
      <c r="C93" s="391" t="s">
        <v>453</v>
      </c>
      <c r="D93" s="404"/>
      <c r="E93" s="405"/>
      <c r="F93" s="406"/>
      <c r="G93" s="423"/>
      <c r="K93" s="17"/>
    </row>
    <row r="94" spans="2:11" ht="17.25" thickBot="1" x14ac:dyDescent="0.35">
      <c r="B94" s="395"/>
      <c r="C94" s="407"/>
      <c r="D94" s="388"/>
      <c r="E94" s="388"/>
      <c r="F94" s="388"/>
      <c r="G94" s="428"/>
      <c r="K94" s="17"/>
    </row>
    <row r="95" spans="2:11" ht="18" thickBot="1" x14ac:dyDescent="0.4">
      <c r="B95" s="395"/>
      <c r="C95" s="913" t="s">
        <v>61</v>
      </c>
      <c r="D95" s="914"/>
      <c r="E95" s="914"/>
      <c r="F95" s="915"/>
      <c r="G95" s="423"/>
      <c r="K95" s="17"/>
    </row>
    <row r="96" spans="2:11" ht="17.25" x14ac:dyDescent="0.35">
      <c r="B96" s="395"/>
      <c r="C96" s="429"/>
      <c r="D96" s="957" t="s">
        <v>48</v>
      </c>
      <c r="E96" s="955"/>
      <c r="F96" s="956"/>
      <c r="G96" s="423"/>
      <c r="K96" s="17"/>
    </row>
    <row r="97" spans="2:11" ht="17.25" x14ac:dyDescent="0.35">
      <c r="B97" s="400"/>
      <c r="C97" s="408"/>
      <c r="D97" s="409" t="s">
        <v>56</v>
      </c>
      <c r="E97" s="409" t="s">
        <v>57</v>
      </c>
      <c r="F97" s="410" t="s">
        <v>58</v>
      </c>
      <c r="G97" s="423"/>
      <c r="K97" s="17"/>
    </row>
    <row r="98" spans="2:11" x14ac:dyDescent="0.3">
      <c r="B98" s="395"/>
      <c r="C98" s="386" t="s">
        <v>62</v>
      </c>
      <c r="D98" s="403"/>
      <c r="E98" s="403"/>
      <c r="F98" s="390"/>
      <c r="G98" s="423"/>
      <c r="K98" s="17"/>
    </row>
    <row r="99" spans="2:11" x14ac:dyDescent="0.3">
      <c r="B99" s="395"/>
      <c r="C99" s="386" t="s">
        <v>63</v>
      </c>
      <c r="D99" s="403"/>
      <c r="E99" s="403"/>
      <c r="F99" s="390"/>
      <c r="G99" s="423"/>
      <c r="K99" s="17"/>
    </row>
    <row r="100" spans="2:11" x14ac:dyDescent="0.3">
      <c r="B100" s="395"/>
      <c r="C100" s="386" t="s">
        <v>64</v>
      </c>
      <c r="D100" s="403"/>
      <c r="E100" s="403"/>
      <c r="F100" s="390"/>
      <c r="G100" s="423"/>
      <c r="K100" s="17"/>
    </row>
    <row r="101" spans="2:11" x14ac:dyDescent="0.3">
      <c r="B101" s="395"/>
      <c r="C101" s="386" t="s">
        <v>422</v>
      </c>
      <c r="D101" s="403"/>
      <c r="E101" s="403"/>
      <c r="F101" s="390"/>
      <c r="G101" s="423"/>
      <c r="K101" s="17"/>
    </row>
    <row r="102" spans="2:11" ht="17.25" thickBot="1" x14ac:dyDescent="0.35">
      <c r="B102" s="395"/>
      <c r="C102" s="391" t="s">
        <v>437</v>
      </c>
      <c r="D102" s="404"/>
      <c r="E102" s="404"/>
      <c r="F102" s="392"/>
      <c r="G102" s="423"/>
      <c r="K102" s="17"/>
    </row>
    <row r="103" spans="2:11" ht="17.25" thickBot="1" x14ac:dyDescent="0.35">
      <c r="B103" s="395"/>
      <c r="C103" s="388"/>
      <c r="D103" s="388"/>
      <c r="E103" s="388"/>
      <c r="F103" s="388"/>
      <c r="G103" s="428"/>
      <c r="K103" s="17"/>
    </row>
    <row r="104" spans="2:11" ht="18" thickBot="1" x14ac:dyDescent="0.4">
      <c r="B104" s="395"/>
      <c r="C104" s="913" t="s">
        <v>65</v>
      </c>
      <c r="D104" s="914"/>
      <c r="E104" s="914"/>
      <c r="F104" s="915"/>
      <c r="G104" s="423"/>
      <c r="K104" s="17"/>
    </row>
    <row r="105" spans="2:11" ht="17.25" x14ac:dyDescent="0.35">
      <c r="B105" s="395"/>
      <c r="C105" s="398"/>
      <c r="D105" s="957" t="s">
        <v>48</v>
      </c>
      <c r="E105" s="955"/>
      <c r="F105" s="956"/>
      <c r="G105" s="423"/>
      <c r="K105" s="17"/>
    </row>
    <row r="106" spans="2:11" ht="17.25" x14ac:dyDescent="0.35">
      <c r="B106" s="400"/>
      <c r="C106" s="395"/>
      <c r="D106" s="409" t="s">
        <v>56</v>
      </c>
      <c r="E106" s="409" t="s">
        <v>57</v>
      </c>
      <c r="F106" s="410" t="s">
        <v>58</v>
      </c>
      <c r="G106" s="423"/>
      <c r="K106" s="17"/>
    </row>
    <row r="107" spans="2:11" x14ac:dyDescent="0.3">
      <c r="B107" s="395"/>
      <c r="C107" s="386" t="s">
        <v>66</v>
      </c>
      <c r="D107" s="403"/>
      <c r="E107" s="403"/>
      <c r="F107" s="390"/>
      <c r="G107" s="423"/>
      <c r="K107" s="17"/>
    </row>
    <row r="108" spans="2:11" x14ac:dyDescent="0.3">
      <c r="B108" s="395"/>
      <c r="C108" s="386" t="s">
        <v>67</v>
      </c>
      <c r="D108" s="403"/>
      <c r="E108" s="403"/>
      <c r="F108" s="390"/>
      <c r="G108" s="423"/>
      <c r="K108" s="17"/>
    </row>
    <row r="109" spans="2:11" x14ac:dyDescent="0.3">
      <c r="B109" s="395"/>
      <c r="C109" s="386" t="s">
        <v>68</v>
      </c>
      <c r="D109" s="403"/>
      <c r="E109" s="403"/>
      <c r="F109" s="390"/>
      <c r="G109" s="423"/>
      <c r="K109" s="17"/>
    </row>
    <row r="110" spans="2:11" x14ac:dyDescent="0.3">
      <c r="B110" s="395"/>
      <c r="C110" s="386" t="s">
        <v>69</v>
      </c>
      <c r="D110" s="403"/>
      <c r="E110" s="403"/>
      <c r="F110" s="390"/>
      <c r="G110" s="423"/>
      <c r="K110" s="17"/>
    </row>
    <row r="111" spans="2:11" x14ac:dyDescent="0.3">
      <c r="B111" s="395"/>
      <c r="C111" s="386" t="s">
        <v>70</v>
      </c>
      <c r="D111" s="403"/>
      <c r="E111" s="403"/>
      <c r="F111" s="390"/>
      <c r="G111" s="423"/>
      <c r="K111" s="17"/>
    </row>
    <row r="112" spans="2:11" x14ac:dyDescent="0.3">
      <c r="B112" s="395"/>
      <c r="C112" s="386" t="s">
        <v>71</v>
      </c>
      <c r="D112" s="403"/>
      <c r="E112" s="403"/>
      <c r="F112" s="390"/>
      <c r="G112" s="423"/>
      <c r="K112" s="17"/>
    </row>
    <row r="113" spans="2:11" x14ac:dyDescent="0.3">
      <c r="B113" s="395"/>
      <c r="C113" s="386" t="s">
        <v>72</v>
      </c>
      <c r="D113" s="403"/>
      <c r="E113" s="403"/>
      <c r="F113" s="390"/>
      <c r="G113" s="423"/>
      <c r="K113" s="17"/>
    </row>
    <row r="114" spans="2:11" x14ac:dyDescent="0.3">
      <c r="B114" s="395"/>
      <c r="C114" s="386" t="s">
        <v>73</v>
      </c>
      <c r="D114" s="403"/>
      <c r="E114" s="403"/>
      <c r="F114" s="390"/>
      <c r="G114" s="423"/>
      <c r="K114" s="17"/>
    </row>
    <row r="115" spans="2:11" x14ac:dyDescent="0.3">
      <c r="B115" s="395"/>
      <c r="C115" s="386" t="s">
        <v>74</v>
      </c>
      <c r="D115" s="403"/>
      <c r="E115" s="403"/>
      <c r="F115" s="390"/>
      <c r="G115" s="423"/>
      <c r="K115" s="17"/>
    </row>
    <row r="116" spans="2:11" x14ac:dyDescent="0.3">
      <c r="B116" s="395"/>
      <c r="C116" s="386" t="s">
        <v>75</v>
      </c>
      <c r="D116" s="403"/>
      <c r="E116" s="403"/>
      <c r="F116" s="390"/>
      <c r="G116" s="423"/>
      <c r="K116" s="17"/>
    </row>
    <row r="117" spans="2:11" ht="17.25" thickBot="1" x14ac:dyDescent="0.35">
      <c r="B117" s="395"/>
      <c r="C117" s="391" t="s">
        <v>76</v>
      </c>
      <c r="D117" s="404"/>
      <c r="E117" s="404"/>
      <c r="F117" s="392"/>
      <c r="G117" s="423"/>
      <c r="K117" s="17"/>
    </row>
    <row r="118" spans="2:11" ht="17.25" thickBot="1" x14ac:dyDescent="0.35">
      <c r="B118" s="395"/>
      <c r="C118" s="388"/>
      <c r="D118" s="388"/>
      <c r="E118" s="388"/>
      <c r="F118" s="388"/>
      <c r="G118" s="428"/>
      <c r="K118" s="17"/>
    </row>
    <row r="119" spans="2:11" ht="18" thickBot="1" x14ac:dyDescent="0.4">
      <c r="B119" s="395"/>
      <c r="C119" s="913" t="s">
        <v>77</v>
      </c>
      <c r="D119" s="914"/>
      <c r="E119" s="914"/>
      <c r="F119" s="915"/>
      <c r="G119" s="423"/>
      <c r="K119" s="17"/>
    </row>
    <row r="120" spans="2:11" ht="17.25" x14ac:dyDescent="0.35">
      <c r="B120" s="395"/>
      <c r="C120" s="398"/>
      <c r="D120" s="957" t="s">
        <v>48</v>
      </c>
      <c r="E120" s="955"/>
      <c r="F120" s="956"/>
      <c r="G120" s="423"/>
      <c r="K120" s="17"/>
    </row>
    <row r="121" spans="2:11" ht="17.25" x14ac:dyDescent="0.35">
      <c r="B121" s="400"/>
      <c r="C121" s="395"/>
      <c r="D121" s="409" t="s">
        <v>56</v>
      </c>
      <c r="E121" s="409" t="s">
        <v>57</v>
      </c>
      <c r="F121" s="410" t="s">
        <v>58</v>
      </c>
      <c r="G121" s="423"/>
      <c r="K121" s="17"/>
    </row>
    <row r="122" spans="2:11" x14ac:dyDescent="0.3">
      <c r="B122" s="395"/>
      <c r="C122" s="386" t="s">
        <v>78</v>
      </c>
      <c r="D122" s="403"/>
      <c r="E122" s="403"/>
      <c r="F122" s="390"/>
      <c r="G122" s="423"/>
      <c r="K122" s="17"/>
    </row>
    <row r="123" spans="2:11" x14ac:dyDescent="0.3">
      <c r="B123" s="395"/>
      <c r="C123" s="386" t="s">
        <v>79</v>
      </c>
      <c r="D123" s="403"/>
      <c r="E123" s="403"/>
      <c r="F123" s="390"/>
      <c r="G123" s="423"/>
      <c r="K123" s="17"/>
    </row>
    <row r="124" spans="2:11" x14ac:dyDescent="0.3">
      <c r="B124" s="395"/>
      <c r="C124" s="386" t="s">
        <v>80</v>
      </c>
      <c r="D124" s="403"/>
      <c r="E124" s="403"/>
      <c r="F124" s="390"/>
      <c r="G124" s="423"/>
      <c r="K124" s="17"/>
    </row>
    <row r="125" spans="2:11" x14ac:dyDescent="0.3">
      <c r="B125" s="395"/>
      <c r="C125" s="386" t="s">
        <v>81</v>
      </c>
      <c r="D125" s="403"/>
      <c r="E125" s="403"/>
      <c r="F125" s="390"/>
      <c r="G125" s="423"/>
      <c r="K125" s="17"/>
    </row>
    <row r="126" spans="2:11" ht="17.25" thickBot="1" x14ac:dyDescent="0.35">
      <c r="B126" s="395"/>
      <c r="C126" s="412" t="s">
        <v>438</v>
      </c>
      <c r="D126" s="404"/>
      <c r="E126" s="404"/>
      <c r="F126" s="392"/>
      <c r="G126" s="423"/>
      <c r="K126" s="17"/>
    </row>
    <row r="127" spans="2:11" ht="17.25" thickBot="1" x14ac:dyDescent="0.35">
      <c r="B127" s="395"/>
      <c r="C127" s="388"/>
      <c r="D127" s="388"/>
      <c r="E127" s="388"/>
      <c r="F127" s="388"/>
      <c r="G127" s="428"/>
      <c r="K127" s="17"/>
    </row>
    <row r="128" spans="2:11" ht="18" thickBot="1" x14ac:dyDescent="0.4">
      <c r="B128" s="395"/>
      <c r="C128" s="913" t="s">
        <v>82</v>
      </c>
      <c r="D128" s="914"/>
      <c r="E128" s="914"/>
      <c r="F128" s="915"/>
      <c r="G128" s="423"/>
      <c r="K128" s="17"/>
    </row>
    <row r="129" spans="2:11" ht="17.25" x14ac:dyDescent="0.35">
      <c r="B129" s="395"/>
      <c r="C129" s="398"/>
      <c r="D129" s="957" t="s">
        <v>48</v>
      </c>
      <c r="E129" s="955"/>
      <c r="F129" s="956"/>
      <c r="G129" s="423"/>
      <c r="K129" s="17"/>
    </row>
    <row r="130" spans="2:11" ht="17.25" x14ac:dyDescent="0.35">
      <c r="B130" s="413"/>
      <c r="C130" s="395"/>
      <c r="D130" s="409" t="s">
        <v>56</v>
      </c>
      <c r="E130" s="409" t="s">
        <v>57</v>
      </c>
      <c r="F130" s="410" t="s">
        <v>58</v>
      </c>
      <c r="G130" s="423"/>
      <c r="K130" s="17"/>
    </row>
    <row r="131" spans="2:11" x14ac:dyDescent="0.3">
      <c r="B131" s="395"/>
      <c r="C131" s="386" t="s">
        <v>83</v>
      </c>
      <c r="D131" s="403"/>
      <c r="E131" s="403"/>
      <c r="F131" s="390"/>
      <c r="G131" s="423"/>
      <c r="K131" s="17"/>
    </row>
    <row r="132" spans="2:11" x14ac:dyDescent="0.3">
      <c r="B132" s="395"/>
      <c r="C132" s="386" t="s">
        <v>84</v>
      </c>
      <c r="D132" s="403"/>
      <c r="E132" s="403"/>
      <c r="F132" s="390"/>
      <c r="G132" s="423"/>
      <c r="K132" s="17"/>
    </row>
    <row r="133" spans="2:11" x14ac:dyDescent="0.3">
      <c r="B133" s="395"/>
      <c r="C133" s="386" t="s">
        <v>85</v>
      </c>
      <c r="D133" s="403"/>
      <c r="E133" s="403"/>
      <c r="F133" s="390"/>
      <c r="G133" s="423"/>
      <c r="K133" s="17"/>
    </row>
    <row r="134" spans="2:11" x14ac:dyDescent="0.3">
      <c r="B134" s="395"/>
      <c r="C134" s="386" t="s">
        <v>86</v>
      </c>
      <c r="D134" s="403"/>
      <c r="E134" s="403"/>
      <c r="F134" s="390"/>
      <c r="G134" s="423"/>
      <c r="K134" s="17"/>
    </row>
    <row r="135" spans="2:11" x14ac:dyDescent="0.3">
      <c r="B135" s="395"/>
      <c r="C135" s="386" t="s">
        <v>87</v>
      </c>
      <c r="D135" s="403"/>
      <c r="E135" s="403"/>
      <c r="F135" s="390"/>
      <c r="G135" s="423"/>
      <c r="K135" s="17"/>
    </row>
    <row r="136" spans="2:11" x14ac:dyDescent="0.3">
      <c r="B136" s="395"/>
      <c r="C136" s="386" t="s">
        <v>88</v>
      </c>
      <c r="D136" s="403"/>
      <c r="E136" s="403"/>
      <c r="F136" s="390"/>
      <c r="G136" s="423"/>
      <c r="K136" s="17"/>
    </row>
    <row r="137" spans="2:11" x14ac:dyDescent="0.3">
      <c r="B137" s="395"/>
      <c r="C137" s="386" t="s">
        <v>89</v>
      </c>
      <c r="D137" s="403"/>
      <c r="E137" s="403"/>
      <c r="F137" s="390"/>
      <c r="G137" s="423"/>
      <c r="K137" s="17"/>
    </row>
    <row r="138" spans="2:11" ht="17.25" thickBot="1" x14ac:dyDescent="0.35">
      <c r="B138" s="395"/>
      <c r="C138" s="391" t="s">
        <v>90</v>
      </c>
      <c r="D138" s="404"/>
      <c r="E138" s="404"/>
      <c r="F138" s="392"/>
      <c r="G138" s="423"/>
      <c r="K138" s="17"/>
    </row>
    <row r="139" spans="2:11" ht="17.25" thickBot="1" x14ac:dyDescent="0.35">
      <c r="B139" s="395"/>
      <c r="C139" s="388"/>
      <c r="D139" s="388"/>
      <c r="E139" s="388"/>
      <c r="F139" s="388"/>
      <c r="G139" s="428"/>
      <c r="K139" s="17"/>
    </row>
    <row r="140" spans="2:11" ht="18" thickBot="1" x14ac:dyDescent="0.4">
      <c r="B140" s="395"/>
      <c r="C140" s="913" t="s">
        <v>196</v>
      </c>
      <c r="D140" s="914"/>
      <c r="E140" s="914"/>
      <c r="F140" s="915"/>
      <c r="G140" s="423"/>
      <c r="K140" s="17"/>
    </row>
    <row r="141" spans="2:11" ht="17.25" x14ac:dyDescent="0.35">
      <c r="B141" s="400"/>
      <c r="C141" s="398"/>
      <c r="D141" s="957" t="s">
        <v>48</v>
      </c>
      <c r="E141" s="955"/>
      <c r="F141" s="956"/>
      <c r="G141" s="423"/>
      <c r="K141" s="17"/>
    </row>
    <row r="142" spans="2:11" x14ac:dyDescent="0.3">
      <c r="B142" s="395"/>
      <c r="C142" s="386" t="s">
        <v>195</v>
      </c>
      <c r="D142" s="929"/>
      <c r="E142" s="930"/>
      <c r="F142" s="931"/>
      <c r="G142" s="423"/>
      <c r="K142" s="17"/>
    </row>
    <row r="143" spans="2:11" x14ac:dyDescent="0.3">
      <c r="B143" s="395"/>
      <c r="C143" s="386" t="s">
        <v>194</v>
      </c>
      <c r="D143" s="965"/>
      <c r="E143" s="966"/>
      <c r="F143" s="967"/>
      <c r="G143" s="423"/>
      <c r="K143" s="17"/>
    </row>
    <row r="144" spans="2:11" x14ac:dyDescent="0.3">
      <c r="B144" s="395"/>
      <c r="C144" s="386" t="s">
        <v>308</v>
      </c>
      <c r="D144" s="965"/>
      <c r="E144" s="966"/>
      <c r="F144" s="967"/>
      <c r="G144" s="423"/>
      <c r="K144" s="17"/>
    </row>
    <row r="145" spans="1:11" x14ac:dyDescent="0.3">
      <c r="B145" s="395"/>
      <c r="C145" s="386" t="s">
        <v>452</v>
      </c>
      <c r="D145" s="968" t="str">
        <f>IF(D143+D144=0,"",D143+D144)</f>
        <v/>
      </c>
      <c r="E145" s="969"/>
      <c r="F145" s="970"/>
      <c r="G145" s="423"/>
      <c r="K145" s="17"/>
    </row>
    <row r="146" spans="1:11" x14ac:dyDescent="0.3">
      <c r="B146" s="395"/>
      <c r="C146" s="386" t="s">
        <v>193</v>
      </c>
      <c r="D146" s="929"/>
      <c r="E146" s="930"/>
      <c r="F146" s="931"/>
      <c r="G146" s="423"/>
      <c r="K146" s="17"/>
    </row>
    <row r="147" spans="1:11" x14ac:dyDescent="0.3">
      <c r="B147" s="395"/>
      <c r="C147" s="386" t="s">
        <v>192</v>
      </c>
      <c r="D147" s="929"/>
      <c r="E147" s="930"/>
      <c r="F147" s="931"/>
      <c r="G147" s="423"/>
      <c r="K147" s="17"/>
    </row>
    <row r="148" spans="1:11" x14ac:dyDescent="0.3">
      <c r="B148" s="395"/>
      <c r="C148" s="386" t="s">
        <v>191</v>
      </c>
      <c r="D148" s="965"/>
      <c r="E148" s="966"/>
      <c r="F148" s="967"/>
      <c r="G148" s="423"/>
      <c r="K148" s="17"/>
    </row>
    <row r="149" spans="1:11" x14ac:dyDescent="0.3">
      <c r="B149" s="395"/>
      <c r="C149" s="386" t="s">
        <v>308</v>
      </c>
      <c r="D149" s="971"/>
      <c r="E149" s="972"/>
      <c r="F149" s="973"/>
      <c r="G149" s="423"/>
      <c r="K149" s="17"/>
    </row>
    <row r="150" spans="1:11" ht="17.25" thickBot="1" x14ac:dyDescent="0.35">
      <c r="B150" s="395"/>
      <c r="C150" s="391" t="s">
        <v>452</v>
      </c>
      <c r="D150" s="962" t="str">
        <f>IF(D148+D149=0,"",D148+D149)</f>
        <v/>
      </c>
      <c r="E150" s="963"/>
      <c r="F150" s="964"/>
      <c r="G150" s="423"/>
      <c r="K150" s="17"/>
    </row>
    <row r="151" spans="1:11" ht="17.25" thickBot="1" x14ac:dyDescent="0.35">
      <c r="B151" s="416"/>
      <c r="C151" s="405"/>
      <c r="D151" s="405"/>
      <c r="E151" s="405"/>
      <c r="F151" s="405"/>
      <c r="G151" s="433"/>
      <c r="K151" s="17"/>
    </row>
    <row r="152" spans="1:11" x14ac:dyDescent="0.3">
      <c r="K152" s="17"/>
    </row>
    <row r="153" spans="1:11" s="16" customFormat="1" x14ac:dyDescent="0.3">
      <c r="A153" s="17"/>
      <c r="B153" s="17"/>
      <c r="C153" s="17"/>
      <c r="D153" s="17"/>
      <c r="E153" s="17"/>
      <c r="F153" s="17"/>
      <c r="G153" s="17"/>
      <c r="H153" s="17"/>
      <c r="I153" s="17"/>
      <c r="J153" s="17"/>
      <c r="K153"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47">
    <mergeCell ref="C104:F104"/>
    <mergeCell ref="C119:F119"/>
    <mergeCell ref="C128:F128"/>
    <mergeCell ref="C140:F140"/>
    <mergeCell ref="E2:F2"/>
    <mergeCell ref="D71:F71"/>
    <mergeCell ref="D72:F72"/>
    <mergeCell ref="D73:F73"/>
    <mergeCell ref="D75:F75"/>
    <mergeCell ref="D74:F74"/>
    <mergeCell ref="D14:F14"/>
    <mergeCell ref="B11:G11"/>
    <mergeCell ref="D86:F86"/>
    <mergeCell ref="D96:F96"/>
    <mergeCell ref="D105:F105"/>
    <mergeCell ref="H4:I4"/>
    <mergeCell ref="B2:C2"/>
    <mergeCell ref="C13:F13"/>
    <mergeCell ref="C23:F23"/>
    <mergeCell ref="D150:F150"/>
    <mergeCell ref="D143:F143"/>
    <mergeCell ref="D145:F145"/>
    <mergeCell ref="D147:F147"/>
    <mergeCell ref="D148:F148"/>
    <mergeCell ref="D149:F149"/>
    <mergeCell ref="D144:F144"/>
    <mergeCell ref="D146:F146"/>
    <mergeCell ref="D24:F24"/>
    <mergeCell ref="D129:F129"/>
    <mergeCell ref="D142:F142"/>
    <mergeCell ref="D70:F70"/>
    <mergeCell ref="D141:F141"/>
    <mergeCell ref="C32:F32"/>
    <mergeCell ref="C47:F47"/>
    <mergeCell ref="C56:F56"/>
    <mergeCell ref="C68:F68"/>
    <mergeCell ref="C85:F85"/>
    <mergeCell ref="C95:F95"/>
    <mergeCell ref="D120:F120"/>
    <mergeCell ref="D69:F69"/>
    <mergeCell ref="D76:F76"/>
    <mergeCell ref="D77:F77"/>
    <mergeCell ref="D78:F78"/>
    <mergeCell ref="B81:G81"/>
    <mergeCell ref="D33:F33"/>
    <mergeCell ref="D48:F48"/>
    <mergeCell ref="D57:F57"/>
  </mergeCells>
  <phoneticPr fontId="26" type="noConversion"/>
  <conditionalFormatting sqref="D142:D145 D146:F146 D147:D150 D98:F102 D107:F117 D122:F126 D131:F138 D92:D93 D88:F91">
    <cfRule type="expression" dxfId="62" priority="5" stopIfTrue="1">
      <formula>OR($I$6&lt;&gt;"Two-Speed",$I$5="Heating Only Central Heat Pump")</formula>
    </cfRule>
  </conditionalFormatting>
  <conditionalFormatting sqref="D26:F30 D35:F45 D50:F54 D59:F66 D16:F19 D70:D73 D20:D21 D75:D78">
    <cfRule type="expression" dxfId="61" priority="16" stopIfTrue="1">
      <formula>OR($I$5 = "Heating Only Central Heat Pump", $I$6 = "Variable-Speed")</formula>
    </cfRule>
  </conditionalFormatting>
  <conditionalFormatting sqref="D74:F74">
    <cfRule type="expression" dxfId="60" priority="19" stopIfTrue="1">
      <formula>OR($I$5 = "Heating Only Central Heat Pump",AND($I$6 = "Single-Speed",$I$7 = "Fixed Speed"))</formula>
    </cfRule>
  </conditionalFormatting>
  <hyperlinks>
    <hyperlink ref="E2" location="Instructions!A1" display="Back to Instructions" xr:uid="{00000000-0004-0000-0A00-000000000000}"/>
    <hyperlink ref="E2:F2" location="Instructions!A1" display="Back to Instructions tab" xr:uid="{00000000-0004-0000-0A00-000001000000}"/>
  </hyperlinks>
  <pageMargins left="0.7" right="0.7" top="0.75" bottom="0.75" header="0.3" footer="0.3"/>
  <pageSetup orientation="portrait" horizontalDpi="200" verticalDpi="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0070C0"/>
  </sheetPr>
  <dimension ref="A1:K99"/>
  <sheetViews>
    <sheetView showGridLines="0" showZeros="0" zoomScale="80" zoomScaleNormal="80" workbookViewId="0">
      <selection activeCell="E2" sqref="E2:F2"/>
    </sheetView>
  </sheetViews>
  <sheetFormatPr defaultColWidth="9.140625" defaultRowHeight="16.5" x14ac:dyDescent="0.3"/>
  <cols>
    <col min="1" max="1" width="5.28515625" style="5" customWidth="1"/>
    <col min="2" max="2" width="30.7109375" style="5" customWidth="1"/>
    <col min="3" max="3" width="76.7109375" style="5" customWidth="1"/>
    <col min="4" max="4" width="24.7109375" style="5" customWidth="1"/>
    <col min="5" max="6" width="12.7109375" style="5" customWidth="1"/>
    <col min="7" max="7" width="10.5703125" style="5" customWidth="1"/>
    <col min="8" max="8" width="24.140625" style="5" customWidth="1"/>
    <col min="9" max="9" width="18.140625" style="5" customWidth="1"/>
    <col min="10" max="10" width="6.5703125" style="110" customWidth="1"/>
    <col min="11" max="11" width="5.5703125" style="5" customWidth="1"/>
    <col min="12" max="16384" width="9.140625" style="5"/>
  </cols>
  <sheetData>
    <row r="1" spans="2:11" ht="17.25" thickBot="1" x14ac:dyDescent="0.35">
      <c r="J1" s="123"/>
      <c r="K1" s="17"/>
    </row>
    <row r="2" spans="2:11" s="1" customFormat="1" ht="18.75" thickBot="1" x14ac:dyDescent="0.4">
      <c r="B2" s="805" t="s">
        <v>622</v>
      </c>
      <c r="C2" s="806"/>
      <c r="E2" s="840" t="s">
        <v>553</v>
      </c>
      <c r="F2" s="840"/>
      <c r="G2" s="332"/>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Optional D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7.25" thickBot="1" x14ac:dyDescent="0.35">
      <c r="B8" s="372" t="s">
        <v>143</v>
      </c>
      <c r="C8" s="373" t="str">
        <f>'Version Control'!C8</f>
        <v>[MM/DD/YYYY]</v>
      </c>
      <c r="G8" s="12"/>
      <c r="H8" s="8"/>
      <c r="J8" s="124"/>
      <c r="K8" s="125"/>
    </row>
    <row r="9" spans="2:11" s="1" customFormat="1" x14ac:dyDescent="0.3">
      <c r="B9" s="4"/>
      <c r="C9" s="232"/>
      <c r="G9" s="12"/>
      <c r="H9" s="8"/>
      <c r="J9" s="124"/>
      <c r="K9" s="125"/>
    </row>
    <row r="10" spans="2:11" s="1" customFormat="1" ht="17.25" thickBot="1" x14ac:dyDescent="0.35">
      <c r="B10" s="112"/>
      <c r="C10" s="450"/>
      <c r="D10" s="451"/>
      <c r="E10" s="451"/>
      <c r="F10" s="451"/>
      <c r="J10" s="124"/>
      <c r="K10" s="125"/>
    </row>
    <row r="11" spans="2:11" ht="18.75" thickBot="1" x14ac:dyDescent="0.4">
      <c r="B11" s="926" t="str">
        <f>IF(AND($I$6="Single-Speed",$I$7="Fixed Speed"),"'D Test' Data to be recorded","'D1 Test' Data to be recorded")</f>
        <v>'D1 Test' Data to be recorded</v>
      </c>
      <c r="C11" s="927"/>
      <c r="D11" s="927"/>
      <c r="E11" s="927"/>
      <c r="F11" s="928"/>
      <c r="G11" s="126"/>
      <c r="H11" s="134" t="s">
        <v>198</v>
      </c>
      <c r="K11" s="17"/>
    </row>
    <row r="12" spans="2:11" ht="17.25" x14ac:dyDescent="0.35">
      <c r="B12" s="383"/>
      <c r="C12" s="421"/>
      <c r="D12" s="421"/>
      <c r="E12" s="455"/>
      <c r="F12" s="456"/>
      <c r="G12" s="8"/>
      <c r="H12" s="134"/>
      <c r="K12" s="17"/>
    </row>
    <row r="13" spans="2:11" ht="17.25" x14ac:dyDescent="0.35">
      <c r="B13" s="400"/>
      <c r="C13" s="457" t="s">
        <v>487</v>
      </c>
      <c r="D13" s="454"/>
      <c r="E13" s="458"/>
      <c r="F13" s="459"/>
      <c r="G13" s="8"/>
      <c r="H13" s="134"/>
      <c r="K13" s="17"/>
    </row>
    <row r="14" spans="2:11" ht="17.25" thickBot="1" x14ac:dyDescent="0.35">
      <c r="B14" s="395"/>
      <c r="C14" s="388"/>
      <c r="D14" s="388"/>
      <c r="E14" s="458"/>
      <c r="F14" s="459"/>
      <c r="G14" s="8"/>
      <c r="I14" s="127"/>
      <c r="J14" s="136"/>
      <c r="K14" s="17"/>
    </row>
    <row r="15" spans="2:11" ht="18" thickBot="1" x14ac:dyDescent="0.4">
      <c r="B15" s="395"/>
      <c r="C15" s="913" t="s">
        <v>55</v>
      </c>
      <c r="D15" s="915"/>
      <c r="E15" s="458"/>
      <c r="F15" s="459"/>
      <c r="G15" s="8"/>
      <c r="I15" s="127"/>
      <c r="J15" s="136"/>
      <c r="K15" s="17"/>
    </row>
    <row r="16" spans="2:11" ht="17.25" x14ac:dyDescent="0.35">
      <c r="B16" s="395"/>
      <c r="C16" s="398"/>
      <c r="D16" s="460" t="s">
        <v>460</v>
      </c>
      <c r="E16" s="461"/>
      <c r="F16" s="459"/>
      <c r="G16" s="8"/>
      <c r="I16" s="127"/>
      <c r="J16" s="136"/>
      <c r="K16" s="17"/>
    </row>
    <row r="17" spans="2:11" x14ac:dyDescent="0.3">
      <c r="B17" s="395"/>
      <c r="C17" s="386" t="s">
        <v>447</v>
      </c>
      <c r="D17" s="462"/>
      <c r="E17" s="458"/>
      <c r="F17" s="459"/>
      <c r="G17" s="8"/>
      <c r="I17" s="128"/>
      <c r="J17" s="137"/>
      <c r="K17" s="17"/>
    </row>
    <row r="18" spans="2:11" ht="33.75" thickBot="1" x14ac:dyDescent="0.35">
      <c r="B18" s="395"/>
      <c r="C18" s="463" t="s">
        <v>450</v>
      </c>
      <c r="D18" s="392"/>
      <c r="E18" s="458"/>
      <c r="F18" s="459"/>
      <c r="G18" s="8"/>
      <c r="I18" s="128"/>
      <c r="J18" s="137"/>
      <c r="K18" s="17"/>
    </row>
    <row r="19" spans="2:11" ht="17.25" thickBot="1" x14ac:dyDescent="0.35">
      <c r="B19" s="395"/>
      <c r="C19" s="407"/>
      <c r="D19" s="388"/>
      <c r="E19" s="458"/>
      <c r="F19" s="459"/>
      <c r="G19" s="8"/>
      <c r="I19" s="128"/>
      <c r="J19" s="137"/>
      <c r="K19" s="17"/>
    </row>
    <row r="20" spans="2:11" ht="18" thickBot="1" x14ac:dyDescent="0.4">
      <c r="B20" s="395"/>
      <c r="C20" s="913" t="s">
        <v>61</v>
      </c>
      <c r="D20" s="915"/>
      <c r="E20" s="458"/>
      <c r="F20" s="459"/>
      <c r="G20" s="8"/>
      <c r="I20" s="128"/>
      <c r="J20" s="137"/>
      <c r="K20" s="17"/>
    </row>
    <row r="21" spans="2:11" ht="32.25" customHeight="1" x14ac:dyDescent="0.35">
      <c r="B21" s="395"/>
      <c r="C21" s="429"/>
      <c r="D21" s="464" t="s">
        <v>461</v>
      </c>
      <c r="E21" s="461"/>
      <c r="F21" s="465"/>
      <c r="G21" s="8"/>
      <c r="I21" s="128"/>
      <c r="J21" s="137"/>
      <c r="K21" s="17"/>
    </row>
    <row r="22" spans="2:11" x14ac:dyDescent="0.3">
      <c r="B22" s="395"/>
      <c r="C22" s="411" t="s">
        <v>62</v>
      </c>
      <c r="D22" s="462"/>
      <c r="E22" s="420"/>
      <c r="F22" s="466"/>
      <c r="G22" s="8"/>
      <c r="I22" s="128"/>
      <c r="J22" s="137"/>
      <c r="K22" s="17"/>
    </row>
    <row r="23" spans="2:11" x14ac:dyDescent="0.3">
      <c r="B23" s="395"/>
      <c r="C23" s="414" t="s">
        <v>422</v>
      </c>
      <c r="D23" s="390"/>
      <c r="E23" s="420"/>
      <c r="F23" s="466"/>
      <c r="G23" s="8"/>
      <c r="I23" s="128"/>
      <c r="J23" s="137"/>
      <c r="K23" s="17"/>
    </row>
    <row r="24" spans="2:11" ht="17.25" thickBot="1" x14ac:dyDescent="0.35">
      <c r="B24" s="395"/>
      <c r="C24" s="391" t="s">
        <v>437</v>
      </c>
      <c r="D24" s="392"/>
      <c r="E24" s="420"/>
      <c r="F24" s="466"/>
      <c r="G24" s="8"/>
      <c r="I24" s="128"/>
      <c r="J24" s="137"/>
      <c r="K24" s="17"/>
    </row>
    <row r="25" spans="2:11" ht="17.25" thickBot="1" x14ac:dyDescent="0.35">
      <c r="B25" s="395"/>
      <c r="C25" s="388"/>
      <c r="D25" s="388"/>
      <c r="E25" s="458"/>
      <c r="F25" s="459"/>
      <c r="G25" s="8"/>
      <c r="I25" s="128"/>
      <c r="J25" s="137"/>
      <c r="K25" s="17"/>
    </row>
    <row r="26" spans="2:11" ht="18" thickBot="1" x14ac:dyDescent="0.4">
      <c r="B26" s="395"/>
      <c r="C26" s="913" t="s">
        <v>77</v>
      </c>
      <c r="D26" s="915"/>
      <c r="E26" s="458"/>
      <c r="F26" s="459"/>
      <c r="G26" s="8"/>
      <c r="I26" s="128"/>
      <c r="J26" s="137"/>
      <c r="K26" s="17"/>
    </row>
    <row r="27" spans="2:11" ht="34.5" x14ac:dyDescent="0.35">
      <c r="B27" s="395"/>
      <c r="C27" s="398"/>
      <c r="D27" s="464" t="s">
        <v>461</v>
      </c>
      <c r="E27" s="467"/>
      <c r="F27" s="468"/>
      <c r="G27" s="8"/>
      <c r="I27" s="128"/>
      <c r="J27" s="137"/>
      <c r="K27" s="17"/>
    </row>
    <row r="28" spans="2:11" x14ac:dyDescent="0.3">
      <c r="B28" s="395"/>
      <c r="C28" s="411" t="s">
        <v>306</v>
      </c>
      <c r="D28" s="462"/>
      <c r="E28" s="420"/>
      <c r="F28" s="466"/>
      <c r="G28" s="8"/>
      <c r="I28" s="128"/>
      <c r="J28" s="137"/>
      <c r="K28" s="17"/>
    </row>
    <row r="29" spans="2:11" ht="17.25" thickBot="1" x14ac:dyDescent="0.35">
      <c r="B29" s="395"/>
      <c r="C29" s="415" t="s">
        <v>307</v>
      </c>
      <c r="D29" s="462"/>
      <c r="E29" s="420"/>
      <c r="F29" s="466"/>
      <c r="G29" s="8"/>
      <c r="I29" s="128"/>
      <c r="J29" s="137"/>
      <c r="K29" s="17"/>
    </row>
    <row r="30" spans="2:11" ht="17.25" thickBot="1" x14ac:dyDescent="0.35">
      <c r="B30" s="395"/>
      <c r="C30" s="388"/>
      <c r="D30" s="388"/>
      <c r="E30" s="420"/>
      <c r="F30" s="466"/>
      <c r="G30" s="8"/>
      <c r="I30" s="128"/>
      <c r="J30" s="137"/>
      <c r="K30" s="17"/>
    </row>
    <row r="31" spans="2:11" ht="18" thickBot="1" x14ac:dyDescent="0.4">
      <c r="B31" s="395"/>
      <c r="C31" s="913" t="s">
        <v>82</v>
      </c>
      <c r="D31" s="915"/>
      <c r="E31" s="420"/>
      <c r="F31" s="466"/>
      <c r="G31" s="8"/>
      <c r="I31" s="128"/>
      <c r="J31" s="137"/>
      <c r="K31" s="17"/>
    </row>
    <row r="32" spans="2:11" ht="34.5" x14ac:dyDescent="0.35">
      <c r="B32" s="395"/>
      <c r="C32" s="398"/>
      <c r="D32" s="464" t="s">
        <v>461</v>
      </c>
      <c r="E32" s="467"/>
      <c r="F32" s="468"/>
      <c r="G32" s="8"/>
      <c r="I32" s="128"/>
      <c r="J32" s="137"/>
      <c r="K32" s="17"/>
    </row>
    <row r="33" spans="2:11" x14ac:dyDescent="0.3">
      <c r="B33" s="395"/>
      <c r="C33" s="411" t="s">
        <v>83</v>
      </c>
      <c r="D33" s="462"/>
      <c r="E33" s="420"/>
      <c r="F33" s="466"/>
      <c r="G33" s="8"/>
      <c r="I33" s="128"/>
      <c r="J33" s="137"/>
      <c r="K33" s="17"/>
    </row>
    <row r="34" spans="2:11" x14ac:dyDescent="0.3">
      <c r="B34" s="395"/>
      <c r="C34" s="414" t="s">
        <v>84</v>
      </c>
      <c r="D34" s="390"/>
      <c r="E34" s="420"/>
      <c r="F34" s="466"/>
      <c r="G34" s="8"/>
      <c r="I34" s="128"/>
      <c r="J34" s="137"/>
      <c r="K34" s="17"/>
    </row>
    <row r="35" spans="2:11" x14ac:dyDescent="0.3">
      <c r="B35" s="395"/>
      <c r="C35" s="411" t="s">
        <v>85</v>
      </c>
      <c r="D35" s="390"/>
      <c r="E35" s="420"/>
      <c r="F35" s="466"/>
      <c r="G35" s="8"/>
      <c r="I35" s="128"/>
      <c r="J35" s="137"/>
      <c r="K35" s="17"/>
    </row>
    <row r="36" spans="2:11" x14ac:dyDescent="0.3">
      <c r="B36" s="395"/>
      <c r="C36" s="414" t="s">
        <v>86</v>
      </c>
      <c r="D36" s="390"/>
      <c r="E36" s="420"/>
      <c r="F36" s="466"/>
      <c r="G36" s="8"/>
      <c r="I36" s="128"/>
      <c r="J36" s="137"/>
      <c r="K36" s="17"/>
    </row>
    <row r="37" spans="2:11" x14ac:dyDescent="0.3">
      <c r="B37" s="395"/>
      <c r="C37" s="411" t="s">
        <v>87</v>
      </c>
      <c r="D37" s="390"/>
      <c r="E37" s="420"/>
      <c r="F37" s="466"/>
      <c r="G37" s="8"/>
      <c r="I37" s="128"/>
      <c r="J37" s="137"/>
      <c r="K37" s="17"/>
    </row>
    <row r="38" spans="2:11" x14ac:dyDescent="0.3">
      <c r="B38" s="395"/>
      <c r="C38" s="414" t="s">
        <v>88</v>
      </c>
      <c r="D38" s="390"/>
      <c r="E38" s="420"/>
      <c r="F38" s="466"/>
      <c r="G38" s="8"/>
      <c r="I38" s="128"/>
      <c r="J38" s="137"/>
      <c r="K38" s="17"/>
    </row>
    <row r="39" spans="2:11" x14ac:dyDescent="0.3">
      <c r="B39" s="395"/>
      <c r="C39" s="411" t="s">
        <v>89</v>
      </c>
      <c r="D39" s="390"/>
      <c r="E39" s="420"/>
      <c r="F39" s="466"/>
      <c r="G39" s="8"/>
      <c r="I39" s="128"/>
      <c r="J39" s="137"/>
      <c r="K39" s="17"/>
    </row>
    <row r="40" spans="2:11" ht="17.25" thickBot="1" x14ac:dyDescent="0.35">
      <c r="B40" s="395"/>
      <c r="C40" s="415" t="s">
        <v>90</v>
      </c>
      <c r="D40" s="392"/>
      <c r="E40" s="420"/>
      <c r="F40" s="466"/>
      <c r="G40" s="8"/>
      <c r="I40" s="128"/>
      <c r="J40" s="137"/>
      <c r="K40" s="17"/>
    </row>
    <row r="41" spans="2:11" ht="17.25" thickBot="1" x14ac:dyDescent="0.35">
      <c r="B41" s="395"/>
      <c r="C41" s="388"/>
      <c r="D41" s="388"/>
      <c r="E41" s="469"/>
      <c r="F41" s="470"/>
      <c r="G41" s="8"/>
      <c r="I41" s="128"/>
      <c r="J41" s="137"/>
      <c r="K41" s="17"/>
    </row>
    <row r="42" spans="2:11" ht="18" thickBot="1" x14ac:dyDescent="0.4">
      <c r="B42" s="395"/>
      <c r="C42" s="913" t="s">
        <v>196</v>
      </c>
      <c r="D42" s="914"/>
      <c r="E42" s="915"/>
      <c r="F42" s="470"/>
      <c r="G42" s="8"/>
      <c r="I42" s="128"/>
      <c r="J42" s="137"/>
      <c r="K42" s="17"/>
    </row>
    <row r="43" spans="2:11" ht="17.25" x14ac:dyDescent="0.35">
      <c r="B43" s="400"/>
      <c r="C43" s="398"/>
      <c r="D43" s="916" t="s">
        <v>462</v>
      </c>
      <c r="E43" s="917"/>
      <c r="F43" s="471"/>
      <c r="G43" s="8"/>
      <c r="I43" s="128"/>
      <c r="J43" s="137"/>
      <c r="K43" s="17"/>
    </row>
    <row r="44" spans="2:11" ht="18" customHeight="1" x14ac:dyDescent="0.35">
      <c r="B44" s="395"/>
      <c r="C44" s="411" t="s">
        <v>448</v>
      </c>
      <c r="D44" s="929"/>
      <c r="E44" s="931"/>
      <c r="F44" s="419"/>
      <c r="G44" s="8"/>
      <c r="I44" s="128"/>
      <c r="J44" s="137"/>
      <c r="K44" s="17"/>
    </row>
    <row r="45" spans="2:11" ht="17.25" x14ac:dyDescent="0.35">
      <c r="B45" s="395"/>
      <c r="C45" s="414" t="s">
        <v>194</v>
      </c>
      <c r="D45" s="921"/>
      <c r="E45" s="922"/>
      <c r="F45" s="419"/>
      <c r="G45" s="8"/>
      <c r="I45" s="128"/>
      <c r="J45" s="137"/>
      <c r="K45" s="17"/>
    </row>
    <row r="46" spans="2:11" ht="17.25" x14ac:dyDescent="0.35">
      <c r="B46" s="395"/>
      <c r="C46" s="411" t="s">
        <v>308</v>
      </c>
      <c r="D46" s="921"/>
      <c r="E46" s="922"/>
      <c r="F46" s="419"/>
      <c r="G46" s="8"/>
      <c r="I46" s="128"/>
      <c r="J46" s="137"/>
      <c r="K46" s="17"/>
    </row>
    <row r="47" spans="2:11" ht="16.5" customHeight="1" x14ac:dyDescent="0.3">
      <c r="B47" s="395"/>
      <c r="C47" s="411" t="s">
        <v>451</v>
      </c>
      <c r="D47" s="946" t="str">
        <f>IF(D44+D46=0,"",D44+D46)</f>
        <v/>
      </c>
      <c r="E47" s="947"/>
      <c r="F47" s="399"/>
      <c r="G47" s="8"/>
      <c r="I47" s="138"/>
      <c r="J47" s="138"/>
      <c r="K47" s="17"/>
    </row>
    <row r="48" spans="2:11" x14ac:dyDescent="0.3">
      <c r="B48" s="395"/>
      <c r="C48" s="411" t="s">
        <v>193</v>
      </c>
      <c r="D48" s="921"/>
      <c r="E48" s="922"/>
      <c r="F48" s="428"/>
      <c r="H48" s="129"/>
      <c r="I48" s="138"/>
      <c r="K48" s="17"/>
    </row>
    <row r="49" spans="2:11" ht="33.75" x14ac:dyDescent="0.35">
      <c r="B49" s="395"/>
      <c r="C49" s="411" t="s">
        <v>449</v>
      </c>
      <c r="D49" s="921"/>
      <c r="E49" s="922"/>
      <c r="F49" s="419"/>
      <c r="G49" s="8"/>
      <c r="I49" s="138"/>
      <c r="J49" s="138"/>
      <c r="K49" s="17"/>
    </row>
    <row r="50" spans="2:11" ht="17.25" x14ac:dyDescent="0.35">
      <c r="B50" s="395"/>
      <c r="C50" s="411" t="s">
        <v>191</v>
      </c>
      <c r="D50" s="921"/>
      <c r="E50" s="922"/>
      <c r="F50" s="419"/>
      <c r="G50" s="8"/>
      <c r="I50" s="138"/>
      <c r="J50" s="138"/>
      <c r="K50" s="17"/>
    </row>
    <row r="51" spans="2:11" ht="17.25" x14ac:dyDescent="0.35">
      <c r="B51" s="395"/>
      <c r="C51" s="414" t="s">
        <v>308</v>
      </c>
      <c r="D51" s="921"/>
      <c r="E51" s="922"/>
      <c r="F51" s="419"/>
      <c r="G51" s="8"/>
      <c r="I51" s="138"/>
      <c r="J51" s="138"/>
      <c r="K51" s="17"/>
    </row>
    <row r="52" spans="2:11" ht="33.75" thickBot="1" x14ac:dyDescent="0.35">
      <c r="B52" s="395"/>
      <c r="C52" s="412" t="s">
        <v>451</v>
      </c>
      <c r="D52" s="950" t="str">
        <f>IF(D49+D51=0,"",D49+D51)</f>
        <v/>
      </c>
      <c r="E52" s="951"/>
      <c r="F52" s="399"/>
      <c r="G52" s="8"/>
      <c r="I52" s="137"/>
      <c r="J52" s="137"/>
      <c r="K52" s="17"/>
    </row>
    <row r="53" spans="2:11" ht="17.25" thickBot="1" x14ac:dyDescent="0.35">
      <c r="B53" s="416"/>
      <c r="C53" s="405"/>
      <c r="D53" s="405"/>
      <c r="E53" s="405"/>
      <c r="F53" s="406"/>
      <c r="G53" s="8"/>
      <c r="I53" s="137"/>
      <c r="J53" s="137"/>
      <c r="K53" s="17"/>
    </row>
    <row r="54" spans="2:11" ht="17.25" thickBot="1" x14ac:dyDescent="0.35">
      <c r="B54" s="380"/>
      <c r="C54" s="380"/>
      <c r="D54" s="380"/>
      <c r="E54" s="380"/>
      <c r="F54" s="417"/>
      <c r="G54" s="8"/>
      <c r="I54" s="137"/>
      <c r="J54" s="137"/>
      <c r="K54" s="17"/>
    </row>
    <row r="55" spans="2:11" ht="18.75" thickBot="1" x14ac:dyDescent="0.4">
      <c r="B55" s="939" t="s">
        <v>424</v>
      </c>
      <c r="C55" s="940"/>
      <c r="D55" s="940"/>
      <c r="E55" s="940"/>
      <c r="F55" s="941"/>
      <c r="G55" s="126"/>
      <c r="I55" s="110"/>
      <c r="K55" s="17"/>
    </row>
    <row r="56" spans="2:11" ht="17.25" x14ac:dyDescent="0.35">
      <c r="B56" s="383"/>
      <c r="C56" s="421"/>
      <c r="D56" s="421"/>
      <c r="E56" s="421"/>
      <c r="F56" s="384"/>
      <c r="G56" s="8"/>
      <c r="I56" s="110"/>
      <c r="K56" s="17"/>
    </row>
    <row r="57" spans="2:11" x14ac:dyDescent="0.3">
      <c r="B57" s="395"/>
      <c r="C57" s="457" t="s">
        <v>487</v>
      </c>
      <c r="D57" s="454"/>
      <c r="E57" s="388"/>
      <c r="F57" s="399"/>
      <c r="G57" s="8"/>
      <c r="I57" s="110"/>
      <c r="K57" s="17"/>
    </row>
    <row r="58" spans="2:11" ht="17.25" thickBot="1" x14ac:dyDescent="0.35">
      <c r="B58" s="395"/>
      <c r="C58" s="388"/>
      <c r="D58" s="388"/>
      <c r="E58" s="388"/>
      <c r="F58" s="399"/>
      <c r="G58" s="8"/>
      <c r="I58" s="110"/>
      <c r="K58" s="17"/>
    </row>
    <row r="59" spans="2:11" ht="18" thickBot="1" x14ac:dyDescent="0.4">
      <c r="B59" s="395"/>
      <c r="C59" s="913" t="s">
        <v>55</v>
      </c>
      <c r="D59" s="915"/>
      <c r="E59" s="388"/>
      <c r="F59" s="399"/>
      <c r="G59" s="8"/>
      <c r="I59" s="110"/>
      <c r="K59" s="17"/>
    </row>
    <row r="60" spans="2:11" ht="17.25" x14ac:dyDescent="0.35">
      <c r="B60" s="395"/>
      <c r="C60" s="398"/>
      <c r="D60" s="460" t="s">
        <v>460</v>
      </c>
      <c r="E60" s="472"/>
      <c r="F60" s="471"/>
      <c r="G60" s="8"/>
      <c r="I60" s="110"/>
      <c r="K60" s="17"/>
    </row>
    <row r="61" spans="2:11" ht="17.25" x14ac:dyDescent="0.35">
      <c r="B61" s="395"/>
      <c r="C61" s="386" t="s">
        <v>447</v>
      </c>
      <c r="D61" s="462"/>
      <c r="E61" s="472"/>
      <c r="F61" s="471"/>
      <c r="G61" s="8"/>
      <c r="I61" s="140"/>
      <c r="J61" s="137"/>
      <c r="K61" s="17"/>
    </row>
    <row r="62" spans="2:11" ht="34.5" thickBot="1" x14ac:dyDescent="0.4">
      <c r="B62" s="395"/>
      <c r="C62" s="463" t="s">
        <v>450</v>
      </c>
      <c r="D62" s="392"/>
      <c r="E62" s="472"/>
      <c r="F62" s="471"/>
      <c r="G62" s="8"/>
      <c r="I62" s="110"/>
      <c r="K62" s="17"/>
    </row>
    <row r="63" spans="2:11" ht="18" thickBot="1" x14ac:dyDescent="0.4">
      <c r="B63" s="395"/>
      <c r="C63" s="407"/>
      <c r="D63" s="388"/>
      <c r="E63" s="472"/>
      <c r="F63" s="471"/>
      <c r="G63" s="8"/>
      <c r="I63" s="110"/>
      <c r="K63" s="17"/>
    </row>
    <row r="64" spans="2:11" ht="18" thickBot="1" x14ac:dyDescent="0.4">
      <c r="B64" s="395"/>
      <c r="C64" s="913" t="s">
        <v>61</v>
      </c>
      <c r="D64" s="915"/>
      <c r="E64" s="472"/>
      <c r="F64" s="471"/>
      <c r="G64" s="8"/>
      <c r="I64" s="110"/>
      <c r="K64" s="17"/>
    </row>
    <row r="65" spans="2:11" ht="34.5" x14ac:dyDescent="0.35">
      <c r="B65" s="395"/>
      <c r="C65" s="429"/>
      <c r="D65" s="464" t="s">
        <v>461</v>
      </c>
      <c r="E65" s="472"/>
      <c r="F65" s="471"/>
      <c r="G65" s="8"/>
      <c r="I65" s="110"/>
      <c r="K65" s="17"/>
    </row>
    <row r="66" spans="2:11" ht="17.25" x14ac:dyDescent="0.35">
      <c r="B66" s="395"/>
      <c r="C66" s="411" t="s">
        <v>62</v>
      </c>
      <c r="D66" s="462"/>
      <c r="E66" s="472"/>
      <c r="F66" s="471"/>
      <c r="G66" s="8"/>
      <c r="I66" s="110"/>
      <c r="K66" s="17"/>
    </row>
    <row r="67" spans="2:11" ht="17.25" x14ac:dyDescent="0.35">
      <c r="B67" s="395"/>
      <c r="C67" s="414" t="s">
        <v>422</v>
      </c>
      <c r="D67" s="390"/>
      <c r="E67" s="472"/>
      <c r="F67" s="471"/>
      <c r="G67" s="8"/>
      <c r="I67" s="110"/>
      <c r="K67" s="17"/>
    </row>
    <row r="68" spans="2:11" ht="18" thickBot="1" x14ac:dyDescent="0.4">
      <c r="B68" s="395"/>
      <c r="C68" s="391" t="s">
        <v>437</v>
      </c>
      <c r="D68" s="392"/>
      <c r="E68" s="472"/>
      <c r="F68" s="471"/>
      <c r="G68" s="8"/>
      <c r="I68" s="110"/>
      <c r="K68" s="17"/>
    </row>
    <row r="69" spans="2:11" ht="18" thickBot="1" x14ac:dyDescent="0.4">
      <c r="B69" s="395"/>
      <c r="C69" s="388"/>
      <c r="D69" s="388"/>
      <c r="E69" s="472"/>
      <c r="F69" s="471"/>
      <c r="G69" s="8"/>
      <c r="I69" s="110"/>
      <c r="K69" s="17"/>
    </row>
    <row r="70" spans="2:11" ht="18" thickBot="1" x14ac:dyDescent="0.4">
      <c r="B70" s="395"/>
      <c r="C70" s="913" t="s">
        <v>77</v>
      </c>
      <c r="D70" s="915"/>
      <c r="E70" s="472"/>
      <c r="F70" s="471"/>
      <c r="G70" s="8"/>
      <c r="I70" s="110"/>
      <c r="K70" s="17"/>
    </row>
    <row r="71" spans="2:11" ht="34.5" x14ac:dyDescent="0.35">
      <c r="B71" s="395"/>
      <c r="C71" s="398"/>
      <c r="D71" s="464" t="s">
        <v>461</v>
      </c>
      <c r="E71" s="472"/>
      <c r="F71" s="471"/>
      <c r="G71" s="8"/>
      <c r="I71" s="110"/>
      <c r="K71" s="17"/>
    </row>
    <row r="72" spans="2:11" ht="17.25" x14ac:dyDescent="0.35">
      <c r="B72" s="395"/>
      <c r="C72" s="411" t="s">
        <v>78</v>
      </c>
      <c r="D72" s="462"/>
      <c r="E72" s="472"/>
      <c r="F72" s="471"/>
      <c r="G72" s="8"/>
      <c r="I72" s="110"/>
      <c r="K72" s="17"/>
    </row>
    <row r="73" spans="2:11" ht="18" thickBot="1" x14ac:dyDescent="0.4">
      <c r="B73" s="395"/>
      <c r="C73" s="415" t="s">
        <v>79</v>
      </c>
      <c r="D73" s="392"/>
      <c r="E73" s="472"/>
      <c r="F73" s="471"/>
      <c r="G73" s="8"/>
      <c r="I73" s="110"/>
      <c r="K73" s="17"/>
    </row>
    <row r="74" spans="2:11" ht="18" thickBot="1" x14ac:dyDescent="0.4">
      <c r="B74" s="395"/>
      <c r="C74" s="388"/>
      <c r="D74" s="472"/>
      <c r="E74" s="472"/>
      <c r="F74" s="428"/>
      <c r="I74" s="110"/>
      <c r="K74" s="17"/>
    </row>
    <row r="75" spans="2:11" ht="18" thickBot="1" x14ac:dyDescent="0.4">
      <c r="B75" s="395"/>
      <c r="C75" s="913" t="s">
        <v>82</v>
      </c>
      <c r="D75" s="915"/>
      <c r="E75" s="472"/>
      <c r="F75" s="428"/>
      <c r="I75" s="110"/>
      <c r="K75" s="17"/>
    </row>
    <row r="76" spans="2:11" ht="34.5" x14ac:dyDescent="0.35">
      <c r="B76" s="395"/>
      <c r="C76" s="398"/>
      <c r="D76" s="464" t="s">
        <v>461</v>
      </c>
      <c r="E76" s="472"/>
      <c r="F76" s="471"/>
      <c r="G76" s="8"/>
      <c r="I76" s="110"/>
      <c r="K76" s="17"/>
    </row>
    <row r="77" spans="2:11" ht="17.25" x14ac:dyDescent="0.35">
      <c r="B77" s="395"/>
      <c r="C77" s="411" t="s">
        <v>83</v>
      </c>
      <c r="D77" s="462"/>
      <c r="E77" s="472"/>
      <c r="F77" s="471"/>
      <c r="G77" s="8"/>
      <c r="I77" s="110"/>
      <c r="K77" s="17"/>
    </row>
    <row r="78" spans="2:11" ht="17.25" x14ac:dyDescent="0.35">
      <c r="B78" s="395"/>
      <c r="C78" s="414" t="s">
        <v>84</v>
      </c>
      <c r="D78" s="390"/>
      <c r="E78" s="472"/>
      <c r="F78" s="471"/>
      <c r="G78" s="8"/>
      <c r="I78" s="110"/>
      <c r="K78" s="17"/>
    </row>
    <row r="79" spans="2:11" ht="17.25" x14ac:dyDescent="0.35">
      <c r="B79" s="395"/>
      <c r="C79" s="411" t="s">
        <v>85</v>
      </c>
      <c r="D79" s="390"/>
      <c r="E79" s="472"/>
      <c r="F79" s="471"/>
      <c r="G79" s="8"/>
      <c r="I79" s="110"/>
      <c r="K79" s="17"/>
    </row>
    <row r="80" spans="2:11" ht="17.25" x14ac:dyDescent="0.35">
      <c r="B80" s="395"/>
      <c r="C80" s="414" t="s">
        <v>86</v>
      </c>
      <c r="D80" s="390"/>
      <c r="E80" s="472"/>
      <c r="F80" s="471"/>
      <c r="G80" s="8"/>
      <c r="I80" s="110"/>
      <c r="K80" s="17"/>
    </row>
    <row r="81" spans="2:11" ht="17.25" x14ac:dyDescent="0.35">
      <c r="B81" s="395"/>
      <c r="C81" s="411" t="s">
        <v>87</v>
      </c>
      <c r="D81" s="390"/>
      <c r="E81" s="472"/>
      <c r="F81" s="471"/>
      <c r="G81" s="8"/>
      <c r="I81" s="110"/>
      <c r="K81" s="17"/>
    </row>
    <row r="82" spans="2:11" ht="17.25" x14ac:dyDescent="0.35">
      <c r="B82" s="395"/>
      <c r="C82" s="414" t="s">
        <v>88</v>
      </c>
      <c r="D82" s="390"/>
      <c r="E82" s="472"/>
      <c r="F82" s="471"/>
      <c r="G82" s="8"/>
      <c r="I82" s="110"/>
      <c r="K82" s="17"/>
    </row>
    <row r="83" spans="2:11" ht="17.25" x14ac:dyDescent="0.35">
      <c r="B83" s="395"/>
      <c r="C83" s="411" t="s">
        <v>89</v>
      </c>
      <c r="D83" s="390"/>
      <c r="E83" s="472"/>
      <c r="F83" s="471"/>
      <c r="G83" s="8"/>
      <c r="I83" s="110"/>
      <c r="K83" s="17"/>
    </row>
    <row r="84" spans="2:11" ht="18" thickBot="1" x14ac:dyDescent="0.4">
      <c r="B84" s="395"/>
      <c r="C84" s="415" t="s">
        <v>90</v>
      </c>
      <c r="D84" s="392"/>
      <c r="E84" s="472"/>
      <c r="F84" s="471"/>
      <c r="G84" s="8"/>
      <c r="I84" s="110"/>
      <c r="K84" s="17"/>
    </row>
    <row r="85" spans="2:11" ht="17.25" thickBot="1" x14ac:dyDescent="0.35">
      <c r="B85" s="395"/>
      <c r="C85" s="388"/>
      <c r="D85" s="388"/>
      <c r="E85" s="388"/>
      <c r="F85" s="399"/>
      <c r="G85" s="8"/>
      <c r="I85" s="110"/>
      <c r="K85" s="17"/>
    </row>
    <row r="86" spans="2:11" ht="18" thickBot="1" x14ac:dyDescent="0.4">
      <c r="B86" s="395"/>
      <c r="C86" s="913" t="s">
        <v>196</v>
      </c>
      <c r="D86" s="914"/>
      <c r="E86" s="915"/>
      <c r="F86" s="399"/>
      <c r="G86" s="8"/>
      <c r="I86" s="110"/>
      <c r="K86" s="17"/>
    </row>
    <row r="87" spans="2:11" ht="17.25" x14ac:dyDescent="0.35">
      <c r="B87" s="400"/>
      <c r="C87" s="398"/>
      <c r="D87" s="916" t="s">
        <v>460</v>
      </c>
      <c r="E87" s="917"/>
      <c r="F87" s="473"/>
      <c r="G87" s="8"/>
      <c r="I87" s="110"/>
      <c r="K87" s="17"/>
    </row>
    <row r="88" spans="2:11" ht="17.25" x14ac:dyDescent="0.35">
      <c r="B88" s="395"/>
      <c r="C88" s="411" t="s">
        <v>448</v>
      </c>
      <c r="D88" s="974"/>
      <c r="E88" s="975"/>
      <c r="F88" s="419"/>
      <c r="G88" s="8"/>
      <c r="I88" s="110"/>
      <c r="K88" s="17"/>
    </row>
    <row r="89" spans="2:11" ht="17.25" x14ac:dyDescent="0.35">
      <c r="B89" s="395"/>
      <c r="C89" s="414" t="s">
        <v>194</v>
      </c>
      <c r="D89" s="921"/>
      <c r="E89" s="922"/>
      <c r="F89" s="419"/>
      <c r="G89" s="8"/>
      <c r="I89" s="110"/>
      <c r="K89" s="17"/>
    </row>
    <row r="90" spans="2:11" ht="17.25" x14ac:dyDescent="0.35">
      <c r="B90" s="395"/>
      <c r="C90" s="411" t="s">
        <v>308</v>
      </c>
      <c r="D90" s="921"/>
      <c r="E90" s="922"/>
      <c r="F90" s="419"/>
      <c r="G90" s="8"/>
      <c r="I90" s="110"/>
      <c r="K90" s="17"/>
    </row>
    <row r="91" spans="2:11" ht="33" x14ac:dyDescent="0.3">
      <c r="B91" s="395"/>
      <c r="C91" s="411" t="s">
        <v>451</v>
      </c>
      <c r="D91" s="960" t="str">
        <f>IF(D88+D90=0,"",D88+D90)</f>
        <v/>
      </c>
      <c r="E91" s="961"/>
      <c r="F91" s="399"/>
      <c r="G91" s="8"/>
      <c r="I91" s="110"/>
      <c r="K91" s="17"/>
    </row>
    <row r="92" spans="2:11" x14ac:dyDescent="0.3">
      <c r="B92" s="395"/>
      <c r="C92" s="411" t="s">
        <v>193</v>
      </c>
      <c r="D92" s="921"/>
      <c r="E92" s="922"/>
      <c r="F92" s="428"/>
      <c r="I92" s="110"/>
      <c r="K92" s="17"/>
    </row>
    <row r="93" spans="2:11" ht="33.75" x14ac:dyDescent="0.35">
      <c r="B93" s="395"/>
      <c r="C93" s="411" t="s">
        <v>449</v>
      </c>
      <c r="D93" s="921"/>
      <c r="E93" s="922"/>
      <c r="F93" s="419"/>
      <c r="G93" s="8"/>
      <c r="I93" s="110"/>
      <c r="K93" s="17"/>
    </row>
    <row r="94" spans="2:11" ht="17.25" x14ac:dyDescent="0.35">
      <c r="B94" s="395"/>
      <c r="C94" s="411" t="s">
        <v>191</v>
      </c>
      <c r="D94" s="921"/>
      <c r="E94" s="922"/>
      <c r="F94" s="419"/>
      <c r="G94" s="8"/>
      <c r="K94" s="17"/>
    </row>
    <row r="95" spans="2:11" ht="17.25" x14ac:dyDescent="0.35">
      <c r="B95" s="395"/>
      <c r="C95" s="414" t="s">
        <v>308</v>
      </c>
      <c r="D95" s="921"/>
      <c r="E95" s="922"/>
      <c r="F95" s="419"/>
      <c r="G95" s="8"/>
      <c r="K95" s="17"/>
    </row>
    <row r="96" spans="2:11" ht="33.75" thickBot="1" x14ac:dyDescent="0.35">
      <c r="B96" s="395"/>
      <c r="C96" s="412" t="s">
        <v>451</v>
      </c>
      <c r="D96" s="958" t="str">
        <f>IF(D93+D95=0,"",D93+D95)</f>
        <v/>
      </c>
      <c r="E96" s="959"/>
      <c r="F96" s="399"/>
      <c r="G96" s="8"/>
      <c r="K96" s="17"/>
    </row>
    <row r="97" spans="1:11" ht="17.25" thickBot="1" x14ac:dyDescent="0.35">
      <c r="B97" s="416"/>
      <c r="C97" s="405"/>
      <c r="D97" s="405"/>
      <c r="E97" s="405"/>
      <c r="F97" s="406"/>
      <c r="G97" s="8"/>
      <c r="K97" s="17"/>
    </row>
    <row r="98" spans="1:11" x14ac:dyDescent="0.3">
      <c r="K98" s="17"/>
    </row>
    <row r="99" spans="1:11" s="16" customFormat="1" x14ac:dyDescent="0.3">
      <c r="A99" s="17"/>
      <c r="B99" s="17"/>
      <c r="C99" s="17"/>
      <c r="D99" s="17"/>
      <c r="E99" s="17"/>
      <c r="F99" s="17"/>
      <c r="G99" s="17"/>
      <c r="H99" s="17"/>
      <c r="I99" s="229"/>
      <c r="J99" s="229"/>
      <c r="K99" s="229"/>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35">
    <mergeCell ref="E2:F2"/>
    <mergeCell ref="B2:C2"/>
    <mergeCell ref="B11:F11"/>
    <mergeCell ref="C15:D15"/>
    <mergeCell ref="C20:D20"/>
    <mergeCell ref="H4:I4"/>
    <mergeCell ref="D48:E48"/>
    <mergeCell ref="D44:E44"/>
    <mergeCell ref="D45:E45"/>
    <mergeCell ref="D46:E46"/>
    <mergeCell ref="D47:E47"/>
    <mergeCell ref="C26:D26"/>
    <mergeCell ref="C31:D31"/>
    <mergeCell ref="D49:E49"/>
    <mergeCell ref="D43:E43"/>
    <mergeCell ref="C42:E42"/>
    <mergeCell ref="D93:E93"/>
    <mergeCell ref="D94:E94"/>
    <mergeCell ref="D50:E50"/>
    <mergeCell ref="D51:E51"/>
    <mergeCell ref="D52:E52"/>
    <mergeCell ref="C86:E86"/>
    <mergeCell ref="B55:F55"/>
    <mergeCell ref="C59:D59"/>
    <mergeCell ref="C64:D64"/>
    <mergeCell ref="C70:D70"/>
    <mergeCell ref="C75:D75"/>
    <mergeCell ref="D95:E95"/>
    <mergeCell ref="D96:E96"/>
    <mergeCell ref="D87:E87"/>
    <mergeCell ref="D92:E92"/>
    <mergeCell ref="D88:E88"/>
    <mergeCell ref="D89:E89"/>
    <mergeCell ref="D90:E90"/>
    <mergeCell ref="D91:E91"/>
  </mergeCells>
  <phoneticPr fontId="26" type="noConversion"/>
  <conditionalFormatting sqref="D44:D52 D33:D40 D22:D24 D17:D18 D28:D29">
    <cfRule type="expression" dxfId="59" priority="5" stopIfTrue="1">
      <formula>OR($I$5 = "Heating Only Central Heat Pump", $I$6 = "Variable-Speed")</formula>
    </cfRule>
  </conditionalFormatting>
  <conditionalFormatting sqref="D88:D96 D77:D84 D72:D73 D66:D68 D61:D62 D57">
    <cfRule type="expression" dxfId="58" priority="17" stopIfTrue="1">
      <formula>OR($I$6&lt;&gt;"Two-Speed",$I$5="Heating Only Central Heat Pump")</formula>
    </cfRule>
  </conditionalFormatting>
  <conditionalFormatting sqref="D13">
    <cfRule type="expression" dxfId="57" priority="1" stopIfTrue="1">
      <formula>OR($I$5 = "Central Air Conditioner", $I$6 = "Variable-Speed")</formula>
    </cfRule>
  </conditionalFormatting>
  <dataValidations count="1">
    <dataValidation type="list" showInputMessage="1" showErrorMessage="1" sqref="D57 D13" xr:uid="{00000000-0002-0000-0B00-000000000000}">
      <formula1>Duration</formula1>
    </dataValidation>
  </dataValidations>
  <hyperlinks>
    <hyperlink ref="E2" location="Instructions!A1" display="Back to Instructions" xr:uid="{00000000-0004-0000-0B00-000000000000}"/>
    <hyperlink ref="E2:F2" location="Instructions!A1" display="Back to Instructions tab" xr:uid="{00000000-0004-0000-0B00-000001000000}"/>
  </hyperlinks>
  <pageMargins left="0.7" right="0.7" top="0.75" bottom="0.75" header="0.3" footer="0.3"/>
  <pageSetup orientation="portrait" horizontalDpi="200" verticalDpi="2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0070C0"/>
  </sheetPr>
  <dimension ref="A1:K81"/>
  <sheetViews>
    <sheetView showGridLines="0" showZeros="0" zoomScale="80" zoomScaleNormal="80" workbookViewId="0">
      <selection activeCell="E3" sqref="E3:F3"/>
    </sheetView>
  </sheetViews>
  <sheetFormatPr defaultColWidth="9.140625" defaultRowHeight="16.5" x14ac:dyDescent="0.3"/>
  <cols>
    <col min="1" max="1" width="4.7109375" style="5" customWidth="1"/>
    <col min="2" max="2" width="30.140625" style="5" customWidth="1"/>
    <col min="3" max="3" width="67.28515625" style="5" customWidth="1"/>
    <col min="4" max="6" width="12.42578125" style="5" customWidth="1"/>
    <col min="7" max="7" width="9.28515625" style="5" customWidth="1"/>
    <col min="8" max="8" width="21.5703125" style="5" customWidth="1"/>
    <col min="9" max="9" width="21.140625" style="5" customWidth="1"/>
    <col min="10" max="10" width="6.140625" style="110" customWidth="1"/>
    <col min="11" max="11" width="6.140625" style="5" customWidth="1"/>
    <col min="12" max="16384" width="9.140625" style="5"/>
  </cols>
  <sheetData>
    <row r="1" spans="2:11" ht="17.25" thickBot="1" x14ac:dyDescent="0.35">
      <c r="J1" s="123"/>
      <c r="K1" s="17"/>
    </row>
    <row r="2" spans="2:11" s="1" customFormat="1" ht="18.75" thickBot="1" x14ac:dyDescent="0.4">
      <c r="B2" s="805" t="s">
        <v>622</v>
      </c>
      <c r="C2" s="806"/>
      <c r="E2" s="1105"/>
      <c r="F2" s="1105"/>
      <c r="G2" s="1105"/>
      <c r="J2" s="124"/>
      <c r="K2" s="125"/>
    </row>
    <row r="3" spans="2:11" s="1" customFormat="1" ht="17.25" thickBot="1" x14ac:dyDescent="0.35">
      <c r="B3" s="365" t="s">
        <v>623</v>
      </c>
      <c r="C3" s="366" t="str">
        <f>'Version Control'!C3</f>
        <v>Commercial Air Conditioner and Heat Pump</v>
      </c>
      <c r="E3" s="840" t="s">
        <v>553</v>
      </c>
      <c r="F3" s="840"/>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Optional G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7.25" thickBot="1" x14ac:dyDescent="0.35">
      <c r="B8" s="372" t="s">
        <v>143</v>
      </c>
      <c r="C8" s="373" t="str">
        <f>'Version Control'!C8</f>
        <v>[MM/DD/YYYY]</v>
      </c>
      <c r="G8" s="12"/>
      <c r="H8" s="8"/>
      <c r="J8" s="124"/>
      <c r="K8" s="125"/>
    </row>
    <row r="9" spans="2:11" s="1" customFormat="1" x14ac:dyDescent="0.3">
      <c r="B9" s="4"/>
      <c r="C9" s="232"/>
      <c r="G9" s="12"/>
      <c r="H9" s="8"/>
      <c r="J9" s="124"/>
      <c r="K9" s="125"/>
    </row>
    <row r="10" spans="2:11" s="1" customFormat="1" ht="17.25" thickBot="1" x14ac:dyDescent="0.35">
      <c r="B10" s="112"/>
      <c r="C10" s="450"/>
      <c r="D10" s="451"/>
      <c r="E10" s="451"/>
      <c r="F10" s="451"/>
      <c r="G10" s="451"/>
      <c r="H10" s="451"/>
      <c r="J10" s="124"/>
      <c r="K10" s="125"/>
    </row>
    <row r="11" spans="2:11" ht="18.75" thickBot="1" x14ac:dyDescent="0.4">
      <c r="B11" s="939" t="s">
        <v>425</v>
      </c>
      <c r="C11" s="940"/>
      <c r="D11" s="940"/>
      <c r="E11" s="940"/>
      <c r="F11" s="940"/>
      <c r="G11" s="941"/>
      <c r="H11" s="380"/>
      <c r="K11" s="17"/>
    </row>
    <row r="12" spans="2:11" ht="18" thickBot="1" x14ac:dyDescent="0.4">
      <c r="B12" s="400"/>
      <c r="C12" s="388"/>
      <c r="D12" s="388"/>
      <c r="E12" s="388"/>
      <c r="F12" s="421"/>
      <c r="G12" s="428"/>
      <c r="H12" s="380"/>
      <c r="K12" s="17"/>
    </row>
    <row r="13" spans="2:11" ht="18" thickBot="1" x14ac:dyDescent="0.4">
      <c r="B13" s="395"/>
      <c r="C13" s="913" t="s">
        <v>55</v>
      </c>
      <c r="D13" s="914"/>
      <c r="E13" s="914"/>
      <c r="F13" s="915"/>
      <c r="G13" s="423"/>
      <c r="H13" s="380"/>
      <c r="I13" s="127"/>
      <c r="J13" s="136"/>
      <c r="K13" s="17"/>
    </row>
    <row r="14" spans="2:11" ht="17.25" x14ac:dyDescent="0.35">
      <c r="B14" s="395"/>
      <c r="C14" s="398"/>
      <c r="D14" s="957" t="s">
        <v>48</v>
      </c>
      <c r="E14" s="955"/>
      <c r="F14" s="956"/>
      <c r="G14" s="423"/>
      <c r="H14" s="380"/>
      <c r="I14" s="127"/>
      <c r="J14" s="136"/>
      <c r="K14" s="17"/>
    </row>
    <row r="15" spans="2:11" ht="17.25" x14ac:dyDescent="0.35">
      <c r="B15" s="400"/>
      <c r="C15" s="395"/>
      <c r="D15" s="409" t="s">
        <v>56</v>
      </c>
      <c r="E15" s="409" t="s">
        <v>57</v>
      </c>
      <c r="F15" s="410" t="s">
        <v>58</v>
      </c>
      <c r="G15" s="423"/>
      <c r="H15" s="380"/>
      <c r="I15" s="127"/>
      <c r="J15" s="136"/>
      <c r="K15" s="17"/>
    </row>
    <row r="16" spans="2:11" x14ac:dyDescent="0.3">
      <c r="B16" s="395"/>
      <c r="C16" s="386" t="s">
        <v>442</v>
      </c>
      <c r="D16" s="436"/>
      <c r="E16" s="403"/>
      <c r="F16" s="390"/>
      <c r="G16" s="423"/>
      <c r="H16" s="380"/>
      <c r="I16" s="128"/>
      <c r="J16" s="137"/>
      <c r="K16" s="17"/>
    </row>
    <row r="17" spans="2:11" x14ac:dyDescent="0.3">
      <c r="B17" s="395"/>
      <c r="C17" s="386" t="s">
        <v>443</v>
      </c>
      <c r="D17" s="403"/>
      <c r="E17" s="403"/>
      <c r="F17" s="390"/>
      <c r="G17" s="423"/>
      <c r="H17" s="380"/>
      <c r="I17" s="128"/>
      <c r="J17" s="137"/>
      <c r="K17" s="17"/>
    </row>
    <row r="18" spans="2:11" x14ac:dyDescent="0.3">
      <c r="B18" s="395"/>
      <c r="C18" s="386" t="s">
        <v>59</v>
      </c>
      <c r="D18" s="403"/>
      <c r="E18" s="403"/>
      <c r="F18" s="390"/>
      <c r="G18" s="423"/>
      <c r="H18" s="380"/>
      <c r="I18" s="128"/>
      <c r="J18" s="137"/>
      <c r="K18" s="17"/>
    </row>
    <row r="19" spans="2:11" x14ac:dyDescent="0.3">
      <c r="B19" s="395"/>
      <c r="C19" s="386" t="s">
        <v>60</v>
      </c>
      <c r="D19" s="403"/>
      <c r="E19" s="403"/>
      <c r="F19" s="390"/>
      <c r="G19" s="423"/>
      <c r="H19" s="380"/>
      <c r="I19" s="128"/>
      <c r="J19" s="137"/>
      <c r="K19" s="17"/>
    </row>
    <row r="20" spans="2:11" x14ac:dyDescent="0.3">
      <c r="B20" s="395"/>
      <c r="C20" s="386" t="s">
        <v>445</v>
      </c>
      <c r="D20" s="403"/>
      <c r="E20" s="388"/>
      <c r="F20" s="399"/>
      <c r="G20" s="423"/>
      <c r="H20" s="380"/>
      <c r="I20" s="128"/>
      <c r="J20" s="137"/>
      <c r="K20" s="17"/>
    </row>
    <row r="21" spans="2:11" ht="17.25" thickBot="1" x14ac:dyDescent="0.35">
      <c r="B21" s="395"/>
      <c r="C21" s="391" t="s">
        <v>453</v>
      </c>
      <c r="D21" s="404"/>
      <c r="E21" s="405"/>
      <c r="F21" s="406"/>
      <c r="G21" s="423"/>
      <c r="H21" s="380"/>
      <c r="I21" s="128"/>
      <c r="J21" s="137"/>
      <c r="K21" s="17"/>
    </row>
    <row r="22" spans="2:11" ht="17.25" thickBot="1" x14ac:dyDescent="0.35">
      <c r="B22" s="395"/>
      <c r="C22" s="407"/>
      <c r="D22" s="388"/>
      <c r="E22" s="388"/>
      <c r="F22" s="388"/>
      <c r="G22" s="428"/>
      <c r="H22" s="380"/>
      <c r="I22" s="128"/>
      <c r="J22" s="137"/>
      <c r="K22" s="17"/>
    </row>
    <row r="23" spans="2:11" ht="18" thickBot="1" x14ac:dyDescent="0.4">
      <c r="B23" s="395"/>
      <c r="C23" s="913" t="s">
        <v>61</v>
      </c>
      <c r="D23" s="914"/>
      <c r="E23" s="914"/>
      <c r="F23" s="915"/>
      <c r="G23" s="423"/>
      <c r="H23" s="380"/>
      <c r="I23" s="128"/>
      <c r="J23" s="137"/>
      <c r="K23" s="17"/>
    </row>
    <row r="24" spans="2:11" ht="17.25" x14ac:dyDescent="0.35">
      <c r="B24" s="395"/>
      <c r="C24" s="429"/>
      <c r="D24" s="957" t="s">
        <v>48</v>
      </c>
      <c r="E24" s="955"/>
      <c r="F24" s="956"/>
      <c r="G24" s="423"/>
      <c r="H24" s="380"/>
      <c r="I24" s="128"/>
      <c r="J24" s="137"/>
      <c r="K24" s="17"/>
    </row>
    <row r="25" spans="2:11" ht="17.25" x14ac:dyDescent="0.35">
      <c r="B25" s="400"/>
      <c r="C25" s="408"/>
      <c r="D25" s="409" t="s">
        <v>56</v>
      </c>
      <c r="E25" s="409" t="s">
        <v>57</v>
      </c>
      <c r="F25" s="410" t="s">
        <v>58</v>
      </c>
      <c r="G25" s="423"/>
      <c r="H25" s="380"/>
      <c r="I25" s="128"/>
      <c r="J25" s="137"/>
      <c r="K25" s="17"/>
    </row>
    <row r="26" spans="2:11" x14ac:dyDescent="0.3">
      <c r="B26" s="395"/>
      <c r="C26" s="386" t="s">
        <v>62</v>
      </c>
      <c r="D26" s="403"/>
      <c r="E26" s="403"/>
      <c r="F26" s="390"/>
      <c r="G26" s="423"/>
      <c r="H26" s="380"/>
      <c r="I26" s="128"/>
      <c r="J26" s="137"/>
      <c r="K26" s="17"/>
    </row>
    <row r="27" spans="2:11" x14ac:dyDescent="0.3">
      <c r="B27" s="395"/>
      <c r="C27" s="386" t="s">
        <v>63</v>
      </c>
      <c r="D27" s="403"/>
      <c r="E27" s="403"/>
      <c r="F27" s="390"/>
      <c r="G27" s="423"/>
      <c r="H27" s="380"/>
      <c r="I27" s="128"/>
      <c r="J27" s="137"/>
      <c r="K27" s="17"/>
    </row>
    <row r="28" spans="2:11" x14ac:dyDescent="0.3">
      <c r="B28" s="395"/>
      <c r="C28" s="386" t="s">
        <v>64</v>
      </c>
      <c r="D28" s="403"/>
      <c r="E28" s="403"/>
      <c r="F28" s="390"/>
      <c r="G28" s="423"/>
      <c r="H28" s="380"/>
      <c r="I28" s="128"/>
      <c r="J28" s="137"/>
      <c r="K28" s="17"/>
    </row>
    <row r="29" spans="2:11" x14ac:dyDescent="0.3">
      <c r="B29" s="395"/>
      <c r="C29" s="386" t="s">
        <v>422</v>
      </c>
      <c r="D29" s="403"/>
      <c r="E29" s="403"/>
      <c r="F29" s="390"/>
      <c r="G29" s="423"/>
      <c r="H29" s="380"/>
      <c r="I29" s="128"/>
      <c r="J29" s="137"/>
      <c r="K29" s="17"/>
    </row>
    <row r="30" spans="2:11" ht="17.25" thickBot="1" x14ac:dyDescent="0.35">
      <c r="B30" s="395"/>
      <c r="C30" s="391" t="s">
        <v>437</v>
      </c>
      <c r="D30" s="404"/>
      <c r="E30" s="404"/>
      <c r="F30" s="392"/>
      <c r="G30" s="423"/>
      <c r="H30" s="380"/>
      <c r="I30" s="128"/>
      <c r="J30" s="137"/>
      <c r="K30" s="17"/>
    </row>
    <row r="31" spans="2:11" ht="17.25" thickBot="1" x14ac:dyDescent="0.35">
      <c r="B31" s="395"/>
      <c r="C31" s="388"/>
      <c r="D31" s="388"/>
      <c r="E31" s="388"/>
      <c r="F31" s="388"/>
      <c r="G31" s="428"/>
      <c r="H31" s="380"/>
      <c r="I31" s="128"/>
      <c r="J31" s="137"/>
      <c r="K31" s="17"/>
    </row>
    <row r="32" spans="2:11" ht="18" thickBot="1" x14ac:dyDescent="0.4">
      <c r="B32" s="395"/>
      <c r="C32" s="913" t="s">
        <v>65</v>
      </c>
      <c r="D32" s="914"/>
      <c r="E32" s="914"/>
      <c r="F32" s="915"/>
      <c r="G32" s="423"/>
      <c r="H32" s="380"/>
      <c r="I32" s="128"/>
      <c r="J32" s="137"/>
      <c r="K32" s="17"/>
    </row>
    <row r="33" spans="2:11" ht="17.25" x14ac:dyDescent="0.35">
      <c r="B33" s="395"/>
      <c r="C33" s="398"/>
      <c r="D33" s="957" t="s">
        <v>48</v>
      </c>
      <c r="E33" s="955"/>
      <c r="F33" s="956"/>
      <c r="G33" s="423"/>
      <c r="H33" s="380"/>
      <c r="I33" s="128"/>
      <c r="J33" s="137"/>
      <c r="K33" s="17"/>
    </row>
    <row r="34" spans="2:11" ht="17.25" x14ac:dyDescent="0.35">
      <c r="B34" s="400"/>
      <c r="C34" s="395"/>
      <c r="D34" s="409" t="s">
        <v>56</v>
      </c>
      <c r="E34" s="409" t="s">
        <v>57</v>
      </c>
      <c r="F34" s="410" t="s">
        <v>58</v>
      </c>
      <c r="G34" s="423"/>
      <c r="H34" s="380"/>
      <c r="I34" s="128"/>
      <c r="J34" s="137"/>
      <c r="K34" s="17"/>
    </row>
    <row r="35" spans="2:11" x14ac:dyDescent="0.3">
      <c r="B35" s="395"/>
      <c r="C35" s="386" t="s">
        <v>66</v>
      </c>
      <c r="D35" s="403"/>
      <c r="E35" s="403"/>
      <c r="F35" s="390"/>
      <c r="G35" s="423"/>
      <c r="H35" s="380"/>
      <c r="I35" s="128"/>
      <c r="J35" s="137"/>
      <c r="K35" s="17"/>
    </row>
    <row r="36" spans="2:11" x14ac:dyDescent="0.3">
      <c r="B36" s="395"/>
      <c r="C36" s="386" t="s">
        <v>67</v>
      </c>
      <c r="D36" s="403"/>
      <c r="E36" s="403"/>
      <c r="F36" s="390"/>
      <c r="G36" s="423"/>
      <c r="H36" s="380"/>
      <c r="I36" s="128"/>
      <c r="J36" s="137"/>
      <c r="K36" s="17"/>
    </row>
    <row r="37" spans="2:11" x14ac:dyDescent="0.3">
      <c r="B37" s="395"/>
      <c r="C37" s="386" t="s">
        <v>68</v>
      </c>
      <c r="D37" s="403"/>
      <c r="E37" s="403"/>
      <c r="F37" s="390"/>
      <c r="G37" s="423"/>
      <c r="H37" s="380"/>
      <c r="I37" s="128"/>
      <c r="J37" s="137"/>
      <c r="K37" s="17"/>
    </row>
    <row r="38" spans="2:11" x14ac:dyDescent="0.3">
      <c r="B38" s="395"/>
      <c r="C38" s="386" t="s">
        <v>69</v>
      </c>
      <c r="D38" s="403"/>
      <c r="E38" s="403"/>
      <c r="F38" s="390"/>
      <c r="G38" s="423"/>
      <c r="H38" s="380"/>
      <c r="I38" s="128"/>
      <c r="J38" s="137"/>
      <c r="K38" s="17"/>
    </row>
    <row r="39" spans="2:11" x14ac:dyDescent="0.3">
      <c r="B39" s="395"/>
      <c r="C39" s="386" t="s">
        <v>70</v>
      </c>
      <c r="D39" s="403"/>
      <c r="E39" s="403"/>
      <c r="F39" s="390"/>
      <c r="G39" s="423"/>
      <c r="H39" s="380"/>
      <c r="I39" s="128"/>
      <c r="J39" s="137"/>
      <c r="K39" s="17"/>
    </row>
    <row r="40" spans="2:11" x14ac:dyDescent="0.3">
      <c r="B40" s="395"/>
      <c r="C40" s="386" t="s">
        <v>71</v>
      </c>
      <c r="D40" s="403"/>
      <c r="E40" s="403"/>
      <c r="F40" s="390"/>
      <c r="G40" s="423"/>
      <c r="H40" s="380"/>
      <c r="I40" s="128"/>
      <c r="J40" s="137"/>
      <c r="K40" s="17"/>
    </row>
    <row r="41" spans="2:11" x14ac:dyDescent="0.3">
      <c r="B41" s="395"/>
      <c r="C41" s="386" t="s">
        <v>72</v>
      </c>
      <c r="D41" s="403"/>
      <c r="E41" s="403"/>
      <c r="F41" s="390"/>
      <c r="G41" s="423"/>
      <c r="H41" s="380"/>
      <c r="I41" s="128"/>
      <c r="J41" s="137"/>
      <c r="K41" s="17"/>
    </row>
    <row r="42" spans="2:11" x14ac:dyDescent="0.3">
      <c r="B42" s="395"/>
      <c r="C42" s="386" t="s">
        <v>73</v>
      </c>
      <c r="D42" s="403"/>
      <c r="E42" s="403"/>
      <c r="F42" s="390"/>
      <c r="G42" s="423"/>
      <c r="H42" s="380"/>
      <c r="I42" s="128"/>
      <c r="J42" s="137"/>
      <c r="K42" s="17"/>
    </row>
    <row r="43" spans="2:11" x14ac:dyDescent="0.3">
      <c r="B43" s="395"/>
      <c r="C43" s="386" t="s">
        <v>74</v>
      </c>
      <c r="D43" s="403"/>
      <c r="E43" s="403"/>
      <c r="F43" s="390"/>
      <c r="G43" s="423"/>
      <c r="H43" s="380"/>
      <c r="I43" s="128"/>
      <c r="J43" s="137"/>
      <c r="K43" s="17"/>
    </row>
    <row r="44" spans="2:11" x14ac:dyDescent="0.3">
      <c r="B44" s="395"/>
      <c r="C44" s="386" t="s">
        <v>75</v>
      </c>
      <c r="D44" s="403"/>
      <c r="E44" s="403"/>
      <c r="F44" s="390"/>
      <c r="G44" s="423"/>
      <c r="H44" s="380"/>
      <c r="I44" s="128"/>
      <c r="J44" s="137"/>
      <c r="K44" s="17"/>
    </row>
    <row r="45" spans="2:11" ht="17.25" thickBot="1" x14ac:dyDescent="0.35">
      <c r="B45" s="395"/>
      <c r="C45" s="391" t="s">
        <v>76</v>
      </c>
      <c r="D45" s="404"/>
      <c r="E45" s="404"/>
      <c r="F45" s="392"/>
      <c r="G45" s="423"/>
      <c r="H45" s="380"/>
      <c r="I45" s="128"/>
      <c r="J45" s="137"/>
      <c r="K45" s="17"/>
    </row>
    <row r="46" spans="2:11" ht="17.25" thickBot="1" x14ac:dyDescent="0.35">
      <c r="B46" s="395"/>
      <c r="C46" s="388"/>
      <c r="D46" s="388"/>
      <c r="E46" s="388"/>
      <c r="F46" s="388"/>
      <c r="G46" s="428"/>
      <c r="H46" s="380"/>
      <c r="I46" s="128"/>
      <c r="J46" s="137"/>
      <c r="K46" s="17"/>
    </row>
    <row r="47" spans="2:11" ht="18" thickBot="1" x14ac:dyDescent="0.4">
      <c r="B47" s="395"/>
      <c r="C47" s="913" t="s">
        <v>77</v>
      </c>
      <c r="D47" s="914"/>
      <c r="E47" s="914"/>
      <c r="F47" s="915"/>
      <c r="G47" s="423"/>
      <c r="H47" s="380"/>
      <c r="I47" s="128"/>
      <c r="J47" s="137"/>
      <c r="K47" s="17"/>
    </row>
    <row r="48" spans="2:11" ht="17.25" x14ac:dyDescent="0.35">
      <c r="B48" s="395"/>
      <c r="C48" s="398"/>
      <c r="D48" s="957" t="s">
        <v>48</v>
      </c>
      <c r="E48" s="955"/>
      <c r="F48" s="956"/>
      <c r="G48" s="423"/>
      <c r="H48" s="380"/>
      <c r="I48" s="128"/>
      <c r="J48" s="137"/>
      <c r="K48" s="17"/>
    </row>
    <row r="49" spans="2:11" ht="17.25" x14ac:dyDescent="0.35">
      <c r="B49" s="400"/>
      <c r="C49" s="395"/>
      <c r="D49" s="409" t="s">
        <v>56</v>
      </c>
      <c r="E49" s="409" t="s">
        <v>57</v>
      </c>
      <c r="F49" s="410" t="s">
        <v>58</v>
      </c>
      <c r="G49" s="423"/>
      <c r="H49" s="380"/>
      <c r="I49" s="128"/>
      <c r="J49" s="137"/>
      <c r="K49" s="17"/>
    </row>
    <row r="50" spans="2:11" x14ac:dyDescent="0.3">
      <c r="B50" s="395"/>
      <c r="C50" s="386" t="s">
        <v>306</v>
      </c>
      <c r="D50" s="403"/>
      <c r="E50" s="403"/>
      <c r="F50" s="390"/>
      <c r="G50" s="423"/>
      <c r="H50" s="380"/>
      <c r="I50" s="128"/>
      <c r="J50" s="137"/>
      <c r="K50" s="17"/>
    </row>
    <row r="51" spans="2:11" x14ac:dyDescent="0.3">
      <c r="B51" s="395"/>
      <c r="C51" s="386" t="s">
        <v>307</v>
      </c>
      <c r="D51" s="403"/>
      <c r="E51" s="403"/>
      <c r="F51" s="390"/>
      <c r="G51" s="423"/>
      <c r="H51" s="380"/>
      <c r="I51" s="128"/>
      <c r="J51" s="137"/>
      <c r="K51" s="17"/>
    </row>
    <row r="52" spans="2:11" x14ac:dyDescent="0.3">
      <c r="B52" s="395"/>
      <c r="C52" s="386" t="s">
        <v>80</v>
      </c>
      <c r="D52" s="403"/>
      <c r="E52" s="403"/>
      <c r="F52" s="390"/>
      <c r="G52" s="423"/>
      <c r="H52" s="380"/>
      <c r="I52" s="128"/>
      <c r="J52" s="137"/>
      <c r="K52" s="17"/>
    </row>
    <row r="53" spans="2:11" x14ac:dyDescent="0.3">
      <c r="B53" s="395"/>
      <c r="C53" s="386" t="s">
        <v>81</v>
      </c>
      <c r="D53" s="403"/>
      <c r="E53" s="403"/>
      <c r="F53" s="390"/>
      <c r="G53" s="423"/>
      <c r="H53" s="380"/>
      <c r="I53" s="128"/>
      <c r="J53" s="137"/>
      <c r="K53" s="17"/>
    </row>
    <row r="54" spans="2:11" ht="17.25" thickBot="1" x14ac:dyDescent="0.35">
      <c r="B54" s="395"/>
      <c r="C54" s="412" t="s">
        <v>438</v>
      </c>
      <c r="D54" s="404"/>
      <c r="E54" s="404"/>
      <c r="F54" s="392"/>
      <c r="G54" s="423"/>
      <c r="H54" s="380"/>
      <c r="K54" s="17"/>
    </row>
    <row r="55" spans="2:11" ht="17.25" thickBot="1" x14ac:dyDescent="0.35">
      <c r="B55" s="395"/>
      <c r="C55" s="388"/>
      <c r="D55" s="388"/>
      <c r="E55" s="388"/>
      <c r="F55" s="388"/>
      <c r="G55" s="428"/>
      <c r="H55" s="380"/>
      <c r="I55" s="128"/>
      <c r="J55" s="137"/>
      <c r="K55" s="17"/>
    </row>
    <row r="56" spans="2:11" ht="18" thickBot="1" x14ac:dyDescent="0.4">
      <c r="B56" s="395"/>
      <c r="C56" s="913" t="s">
        <v>82</v>
      </c>
      <c r="D56" s="914"/>
      <c r="E56" s="914"/>
      <c r="F56" s="915"/>
      <c r="G56" s="423"/>
      <c r="H56" s="380"/>
      <c r="I56" s="128"/>
      <c r="J56" s="137"/>
      <c r="K56" s="17"/>
    </row>
    <row r="57" spans="2:11" ht="17.25" x14ac:dyDescent="0.35">
      <c r="B57" s="395"/>
      <c r="C57" s="398"/>
      <c r="D57" s="957" t="s">
        <v>48</v>
      </c>
      <c r="E57" s="955"/>
      <c r="F57" s="956"/>
      <c r="G57" s="423"/>
      <c r="H57" s="380"/>
      <c r="I57" s="128"/>
      <c r="J57" s="137"/>
      <c r="K57" s="17"/>
    </row>
    <row r="58" spans="2:11" ht="17.25" x14ac:dyDescent="0.35">
      <c r="B58" s="413"/>
      <c r="C58" s="395"/>
      <c r="D58" s="409" t="s">
        <v>56</v>
      </c>
      <c r="E58" s="409" t="s">
        <v>57</v>
      </c>
      <c r="F58" s="410" t="s">
        <v>58</v>
      </c>
      <c r="G58" s="423"/>
      <c r="H58" s="380"/>
      <c r="I58" s="128"/>
      <c r="J58" s="137"/>
      <c r="K58" s="17"/>
    </row>
    <row r="59" spans="2:11" x14ac:dyDescent="0.3">
      <c r="B59" s="395"/>
      <c r="C59" s="386" t="s">
        <v>83</v>
      </c>
      <c r="D59" s="403"/>
      <c r="E59" s="403"/>
      <c r="F59" s="390"/>
      <c r="G59" s="423"/>
      <c r="H59" s="380"/>
      <c r="I59" s="128"/>
      <c r="J59" s="137"/>
      <c r="K59" s="17"/>
    </row>
    <row r="60" spans="2:11" x14ac:dyDescent="0.3">
      <c r="B60" s="395"/>
      <c r="C60" s="386" t="s">
        <v>84</v>
      </c>
      <c r="D60" s="403"/>
      <c r="E60" s="403"/>
      <c r="F60" s="390"/>
      <c r="G60" s="423"/>
      <c r="H60" s="380"/>
      <c r="I60" s="128"/>
      <c r="J60" s="137"/>
      <c r="K60" s="17"/>
    </row>
    <row r="61" spans="2:11" x14ac:dyDescent="0.3">
      <c r="B61" s="395"/>
      <c r="C61" s="386" t="s">
        <v>85</v>
      </c>
      <c r="D61" s="403"/>
      <c r="E61" s="403"/>
      <c r="F61" s="390"/>
      <c r="G61" s="423"/>
      <c r="H61" s="380"/>
      <c r="I61" s="128"/>
      <c r="J61" s="137"/>
      <c r="K61" s="17"/>
    </row>
    <row r="62" spans="2:11" x14ac:dyDescent="0.3">
      <c r="B62" s="395"/>
      <c r="C62" s="386" t="s">
        <v>86</v>
      </c>
      <c r="D62" s="403"/>
      <c r="E62" s="403"/>
      <c r="F62" s="390"/>
      <c r="G62" s="423"/>
      <c r="H62" s="380"/>
      <c r="I62" s="128"/>
      <c r="J62" s="137"/>
      <c r="K62" s="17"/>
    </row>
    <row r="63" spans="2:11" x14ac:dyDescent="0.3">
      <c r="B63" s="395"/>
      <c r="C63" s="386" t="s">
        <v>87</v>
      </c>
      <c r="D63" s="403"/>
      <c r="E63" s="403"/>
      <c r="F63" s="390"/>
      <c r="G63" s="423"/>
      <c r="H63" s="380"/>
      <c r="I63" s="128"/>
      <c r="J63" s="137"/>
      <c r="K63" s="17"/>
    </row>
    <row r="64" spans="2:11" x14ac:dyDescent="0.3">
      <c r="B64" s="395"/>
      <c r="C64" s="386" t="s">
        <v>88</v>
      </c>
      <c r="D64" s="403"/>
      <c r="E64" s="403"/>
      <c r="F64" s="390"/>
      <c r="G64" s="423"/>
      <c r="H64" s="380"/>
      <c r="I64" s="128"/>
      <c r="J64" s="137"/>
      <c r="K64" s="17"/>
    </row>
    <row r="65" spans="2:11" x14ac:dyDescent="0.3">
      <c r="B65" s="395"/>
      <c r="C65" s="386" t="s">
        <v>89</v>
      </c>
      <c r="D65" s="403"/>
      <c r="E65" s="403"/>
      <c r="F65" s="390"/>
      <c r="G65" s="423"/>
      <c r="H65" s="380"/>
      <c r="I65" s="128"/>
      <c r="J65" s="137"/>
      <c r="K65" s="17"/>
    </row>
    <row r="66" spans="2:11" ht="17.25" thickBot="1" x14ac:dyDescent="0.35">
      <c r="B66" s="395"/>
      <c r="C66" s="391" t="s">
        <v>90</v>
      </c>
      <c r="D66" s="404"/>
      <c r="E66" s="404"/>
      <c r="F66" s="392"/>
      <c r="G66" s="423"/>
      <c r="H66" s="380"/>
      <c r="I66" s="128"/>
      <c r="J66" s="137"/>
      <c r="K66" s="17"/>
    </row>
    <row r="67" spans="2:11" ht="17.25" thickBot="1" x14ac:dyDescent="0.35">
      <c r="B67" s="395"/>
      <c r="C67" s="388"/>
      <c r="D67" s="388"/>
      <c r="E67" s="388"/>
      <c r="F67" s="388"/>
      <c r="G67" s="428"/>
      <c r="H67" s="380"/>
      <c r="I67" s="128"/>
      <c r="J67" s="137"/>
      <c r="K67" s="17"/>
    </row>
    <row r="68" spans="2:11" ht="18" thickBot="1" x14ac:dyDescent="0.4">
      <c r="B68" s="395"/>
      <c r="C68" s="913" t="s">
        <v>196</v>
      </c>
      <c r="D68" s="914"/>
      <c r="E68" s="914"/>
      <c r="F68" s="915"/>
      <c r="G68" s="423"/>
      <c r="H68" s="380"/>
      <c r="I68" s="128"/>
      <c r="J68" s="137"/>
      <c r="K68" s="17"/>
    </row>
    <row r="69" spans="2:11" ht="17.25" x14ac:dyDescent="0.35">
      <c r="B69" s="400"/>
      <c r="C69" s="398"/>
      <c r="D69" s="957" t="s">
        <v>48</v>
      </c>
      <c r="E69" s="955"/>
      <c r="F69" s="956"/>
      <c r="G69" s="428"/>
      <c r="H69" s="380"/>
      <c r="I69" s="128"/>
      <c r="J69" s="137"/>
      <c r="K69" s="17"/>
    </row>
    <row r="70" spans="2:11" x14ac:dyDescent="0.3">
      <c r="B70" s="395"/>
      <c r="C70" s="386" t="s">
        <v>195</v>
      </c>
      <c r="D70" s="921"/>
      <c r="E70" s="921"/>
      <c r="F70" s="922"/>
      <c r="G70" s="428"/>
      <c r="H70" s="380"/>
      <c r="I70" s="128"/>
      <c r="J70" s="137"/>
      <c r="K70" s="17"/>
    </row>
    <row r="71" spans="2:11" x14ac:dyDescent="0.3">
      <c r="B71" s="395"/>
      <c r="C71" s="386" t="s">
        <v>194</v>
      </c>
      <c r="D71" s="921"/>
      <c r="E71" s="921"/>
      <c r="F71" s="922"/>
      <c r="G71" s="428"/>
      <c r="H71" s="380"/>
      <c r="I71" s="128"/>
      <c r="J71" s="137"/>
      <c r="K71" s="17"/>
    </row>
    <row r="72" spans="2:11" x14ac:dyDescent="0.3">
      <c r="B72" s="395"/>
      <c r="C72" s="386" t="s">
        <v>308</v>
      </c>
      <c r="D72" s="921"/>
      <c r="E72" s="921"/>
      <c r="F72" s="922"/>
      <c r="G72" s="428"/>
      <c r="H72" s="380"/>
      <c r="I72" s="128"/>
      <c r="J72" s="137"/>
      <c r="K72" s="17"/>
    </row>
    <row r="73" spans="2:11" x14ac:dyDescent="0.3">
      <c r="B73" s="395"/>
      <c r="C73" s="386" t="s">
        <v>94</v>
      </c>
      <c r="D73" s="960" t="str">
        <f>IF(D70+D72=0,"",D70+D72)</f>
        <v/>
      </c>
      <c r="E73" s="960"/>
      <c r="F73" s="961"/>
      <c r="G73" s="428"/>
      <c r="H73" s="380"/>
      <c r="I73" s="129"/>
      <c r="J73" s="138"/>
      <c r="K73" s="17"/>
    </row>
    <row r="74" spans="2:11" x14ac:dyDescent="0.3">
      <c r="B74" s="395"/>
      <c r="C74" s="386" t="s">
        <v>193</v>
      </c>
      <c r="D74" s="921"/>
      <c r="E74" s="921"/>
      <c r="F74" s="922"/>
      <c r="G74" s="428"/>
      <c r="H74" s="380"/>
      <c r="I74" s="129"/>
      <c r="J74" s="138"/>
      <c r="K74" s="17"/>
    </row>
    <row r="75" spans="2:11" x14ac:dyDescent="0.3">
      <c r="B75" s="395"/>
      <c r="C75" s="386" t="s">
        <v>192</v>
      </c>
      <c r="D75" s="921"/>
      <c r="E75" s="921"/>
      <c r="F75" s="922"/>
      <c r="G75" s="428"/>
      <c r="H75" s="380"/>
      <c r="I75" s="129"/>
      <c r="J75" s="138"/>
      <c r="K75" s="17"/>
    </row>
    <row r="76" spans="2:11" x14ac:dyDescent="0.3">
      <c r="B76" s="395"/>
      <c r="C76" s="386" t="s">
        <v>191</v>
      </c>
      <c r="D76" s="921"/>
      <c r="E76" s="921"/>
      <c r="F76" s="922"/>
      <c r="G76" s="428"/>
      <c r="H76" s="380"/>
      <c r="I76" s="129"/>
      <c r="J76" s="138"/>
      <c r="K76" s="17"/>
    </row>
    <row r="77" spans="2:11" x14ac:dyDescent="0.3">
      <c r="B77" s="395"/>
      <c r="C77" s="386" t="s">
        <v>308</v>
      </c>
      <c r="D77" s="921"/>
      <c r="E77" s="921"/>
      <c r="F77" s="922"/>
      <c r="G77" s="428"/>
      <c r="H77" s="380"/>
      <c r="I77" s="129"/>
      <c r="J77" s="138"/>
      <c r="K77" s="17"/>
    </row>
    <row r="78" spans="2:11" ht="17.25" thickBot="1" x14ac:dyDescent="0.35">
      <c r="B78" s="395"/>
      <c r="C78" s="391" t="s">
        <v>94</v>
      </c>
      <c r="D78" s="958" t="str">
        <f>IF(D75+D77=0,"",D75+D77)</f>
        <v/>
      </c>
      <c r="E78" s="958"/>
      <c r="F78" s="959"/>
      <c r="G78" s="428"/>
      <c r="H78" s="380"/>
      <c r="I78" s="130"/>
      <c r="J78" s="137"/>
      <c r="K78" s="17"/>
    </row>
    <row r="79" spans="2:11" ht="17.25" thickBot="1" x14ac:dyDescent="0.35">
      <c r="B79" s="416"/>
      <c r="C79" s="405"/>
      <c r="D79" s="405"/>
      <c r="E79" s="405"/>
      <c r="F79" s="405"/>
      <c r="G79" s="433"/>
      <c r="H79" s="380"/>
      <c r="I79" s="130"/>
      <c r="J79" s="137"/>
      <c r="K79" s="17"/>
    </row>
    <row r="80" spans="2:11" ht="17.25" x14ac:dyDescent="0.35">
      <c r="B80" s="475"/>
      <c r="C80" s="434"/>
      <c r="D80" s="434"/>
      <c r="E80" s="434"/>
      <c r="F80" s="434"/>
      <c r="G80" s="434"/>
      <c r="H80" s="434"/>
      <c r="K80" s="17"/>
    </row>
    <row r="81" spans="1:11" s="16" customFormat="1" x14ac:dyDescent="0.3">
      <c r="A81" s="17"/>
      <c r="B81" s="476"/>
      <c r="C81" s="477"/>
      <c r="D81" s="477"/>
      <c r="E81" s="477"/>
      <c r="F81" s="477"/>
      <c r="G81" s="477"/>
      <c r="H81" s="477"/>
      <c r="I81" s="17"/>
      <c r="J81" s="17"/>
      <c r="K81"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6">
    <mergeCell ref="C32:F32"/>
    <mergeCell ref="C47:F47"/>
    <mergeCell ref="C56:F56"/>
    <mergeCell ref="C68:F68"/>
    <mergeCell ref="D76:F76"/>
    <mergeCell ref="D77:F77"/>
    <mergeCell ref="D78:F78"/>
    <mergeCell ref="D71:F71"/>
    <mergeCell ref="D72:F72"/>
    <mergeCell ref="D73:F73"/>
    <mergeCell ref="H4:I4"/>
    <mergeCell ref="B11:G11"/>
    <mergeCell ref="D75:F75"/>
    <mergeCell ref="E2:G2"/>
    <mergeCell ref="D74:F74"/>
    <mergeCell ref="D24:F24"/>
    <mergeCell ref="D14:F14"/>
    <mergeCell ref="D33:F33"/>
    <mergeCell ref="D48:F48"/>
    <mergeCell ref="D57:F57"/>
    <mergeCell ref="D69:F69"/>
    <mergeCell ref="D70:F70"/>
    <mergeCell ref="E3:F3"/>
    <mergeCell ref="B2:C2"/>
    <mergeCell ref="C13:F13"/>
    <mergeCell ref="C23:F23"/>
  </mergeCells>
  <phoneticPr fontId="26" type="noConversion"/>
  <conditionalFormatting sqref="D70:D78 D26:F30 D35:F45 D50:F54 D59:F66 E16:F19 D16:D21">
    <cfRule type="expression" dxfId="56" priority="4" stopIfTrue="1">
      <formula>OR($I$5 = "Heating Only Central Heat Pump", $I$6 &lt;&gt; "Variable-Speed")</formula>
    </cfRule>
  </conditionalFormatting>
  <hyperlinks>
    <hyperlink ref="E3" location="Instructions!A1" display="Back to Instructions" xr:uid="{00000000-0004-0000-0C00-000000000000}"/>
    <hyperlink ref="E3:F3" location="Instructions!A1" display="Back to Instructions tab" xr:uid="{00000000-0004-0000-0C00-000001000000}"/>
  </hyperlinks>
  <pageMargins left="0.7" right="0.7" top="0.75" bottom="0.75" header="0.3" footer="0.3"/>
  <pageSetup orientation="portrait" horizontalDpi="200" verticalDpi="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0070C0"/>
  </sheetPr>
  <dimension ref="A1:K83"/>
  <sheetViews>
    <sheetView showGridLines="0" showZeros="0" zoomScale="80" zoomScaleNormal="80" workbookViewId="0">
      <selection activeCell="E2" sqref="E2:F2"/>
    </sheetView>
  </sheetViews>
  <sheetFormatPr defaultColWidth="9.140625" defaultRowHeight="16.5" x14ac:dyDescent="0.3"/>
  <cols>
    <col min="1" max="1" width="5.7109375" style="5" customWidth="1"/>
    <col min="2" max="2" width="31" style="5" customWidth="1"/>
    <col min="3" max="3" width="69.5703125" style="5" customWidth="1"/>
    <col min="4" max="6" width="13.140625" style="5" customWidth="1"/>
    <col min="7" max="7" width="8.85546875" style="5" customWidth="1"/>
    <col min="8" max="8" width="24.42578125" style="5" customWidth="1"/>
    <col min="9" max="9" width="18" style="5" customWidth="1"/>
    <col min="10" max="10" width="7.140625" style="110" customWidth="1"/>
    <col min="11" max="11" width="6.5703125" style="5" customWidth="1"/>
    <col min="12" max="16384" width="9.140625" style="5"/>
  </cols>
  <sheetData>
    <row r="1" spans="2:11" ht="17.25" thickBot="1" x14ac:dyDescent="0.35">
      <c r="J1" s="123"/>
      <c r="K1" s="17"/>
    </row>
    <row r="2" spans="2:11" s="1" customFormat="1" ht="18.75" thickBot="1" x14ac:dyDescent="0.4">
      <c r="B2" s="805" t="s">
        <v>622</v>
      </c>
      <c r="C2" s="806"/>
      <c r="E2" s="840" t="s">
        <v>553</v>
      </c>
      <c r="F2" s="840"/>
      <c r="G2" s="332"/>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Optional I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7.25" thickBot="1" x14ac:dyDescent="0.35">
      <c r="B8" s="372" t="s">
        <v>143</v>
      </c>
      <c r="C8" s="373" t="str">
        <f>'Version Control'!C8</f>
        <v>[MM/DD/YYYY]</v>
      </c>
      <c r="G8" s="12"/>
      <c r="H8" s="8"/>
      <c r="J8" s="124"/>
      <c r="K8" s="125"/>
    </row>
    <row r="9" spans="2:11" s="1" customFormat="1" x14ac:dyDescent="0.3">
      <c r="B9" s="4"/>
      <c r="C9" s="232"/>
      <c r="G9" s="12"/>
      <c r="H9" s="8"/>
      <c r="J9" s="124"/>
      <c r="K9" s="125"/>
    </row>
    <row r="10" spans="2:11" s="1" customFormat="1" ht="17.25" thickBot="1" x14ac:dyDescent="0.35">
      <c r="B10" s="112"/>
      <c r="C10" s="450"/>
      <c r="D10" s="451"/>
      <c r="E10" s="451"/>
      <c r="F10" s="451"/>
      <c r="G10" s="451"/>
      <c r="H10" s="451"/>
      <c r="J10" s="124"/>
      <c r="K10" s="125"/>
    </row>
    <row r="11" spans="2:11" ht="18.75" thickBot="1" x14ac:dyDescent="0.4">
      <c r="B11" s="926" t="s">
        <v>476</v>
      </c>
      <c r="C11" s="927"/>
      <c r="D11" s="927"/>
      <c r="E11" s="927"/>
      <c r="F11" s="927"/>
      <c r="G11" s="928"/>
      <c r="H11" s="380"/>
      <c r="K11" s="17"/>
    </row>
    <row r="12" spans="2:11" ht="17.25" x14ac:dyDescent="0.35">
      <c r="B12" s="400"/>
      <c r="C12" s="388"/>
      <c r="D12" s="388"/>
      <c r="E12" s="388"/>
      <c r="F12" s="421"/>
      <c r="G12" s="428"/>
      <c r="H12" s="380"/>
      <c r="K12" s="17"/>
    </row>
    <row r="13" spans="2:11" ht="17.25" x14ac:dyDescent="0.35">
      <c r="B13" s="400"/>
      <c r="C13" s="457" t="s">
        <v>487</v>
      </c>
      <c r="D13" s="454"/>
      <c r="E13" s="388"/>
      <c r="F13" s="388"/>
      <c r="G13" s="428"/>
      <c r="H13" s="474"/>
      <c r="K13" s="17"/>
    </row>
    <row r="14" spans="2:11" ht="17.25" thickBot="1" x14ac:dyDescent="0.35">
      <c r="B14" s="395"/>
      <c r="C14" s="388"/>
      <c r="D14" s="388"/>
      <c r="E14" s="388"/>
      <c r="F14" s="405"/>
      <c r="G14" s="428"/>
      <c r="H14" s="474"/>
      <c r="K14" s="17"/>
    </row>
    <row r="15" spans="2:11" ht="18" thickBot="1" x14ac:dyDescent="0.4">
      <c r="B15" s="395"/>
      <c r="C15" s="913" t="s">
        <v>55</v>
      </c>
      <c r="D15" s="914"/>
      <c r="E15" s="914"/>
      <c r="F15" s="915"/>
      <c r="G15" s="423"/>
      <c r="H15" s="474"/>
      <c r="K15" s="17"/>
    </row>
    <row r="16" spans="2:11" ht="17.25" x14ac:dyDescent="0.35">
      <c r="B16" s="395"/>
      <c r="C16" s="398"/>
      <c r="D16" s="957" t="s">
        <v>48</v>
      </c>
      <c r="E16" s="955"/>
      <c r="F16" s="956"/>
      <c r="G16" s="423"/>
      <c r="H16" s="380"/>
      <c r="I16" s="127"/>
      <c r="J16" s="136"/>
      <c r="K16" s="17"/>
    </row>
    <row r="17" spans="2:11" ht="17.25" x14ac:dyDescent="0.35">
      <c r="B17" s="400"/>
      <c r="C17" s="395"/>
      <c r="D17" s="409" t="s">
        <v>56</v>
      </c>
      <c r="E17" s="409" t="s">
        <v>57</v>
      </c>
      <c r="F17" s="410" t="s">
        <v>58</v>
      </c>
      <c r="G17" s="423"/>
      <c r="H17" s="380"/>
      <c r="I17" s="127"/>
      <c r="J17" s="136"/>
      <c r="K17" s="17"/>
    </row>
    <row r="18" spans="2:11" x14ac:dyDescent="0.3">
      <c r="B18" s="395"/>
      <c r="C18" s="386" t="s">
        <v>442</v>
      </c>
      <c r="D18" s="436"/>
      <c r="E18" s="403"/>
      <c r="F18" s="390"/>
      <c r="G18" s="423"/>
      <c r="H18" s="380"/>
      <c r="I18" s="128"/>
      <c r="J18" s="137"/>
      <c r="K18" s="17"/>
    </row>
    <row r="19" spans="2:11" x14ac:dyDescent="0.3">
      <c r="B19" s="395"/>
      <c r="C19" s="386" t="s">
        <v>443</v>
      </c>
      <c r="D19" s="403"/>
      <c r="E19" s="403"/>
      <c r="F19" s="390"/>
      <c r="G19" s="423"/>
      <c r="H19" s="380"/>
      <c r="I19" s="128"/>
      <c r="J19" s="137"/>
      <c r="K19" s="17"/>
    </row>
    <row r="20" spans="2:11" x14ac:dyDescent="0.3">
      <c r="B20" s="395"/>
      <c r="C20" s="386" t="s">
        <v>59</v>
      </c>
      <c r="D20" s="403"/>
      <c r="E20" s="403"/>
      <c r="F20" s="390"/>
      <c r="G20" s="423"/>
      <c r="H20" s="380"/>
      <c r="I20" s="128"/>
      <c r="J20" s="137"/>
      <c r="K20" s="17"/>
    </row>
    <row r="21" spans="2:11" x14ac:dyDescent="0.3">
      <c r="B21" s="395"/>
      <c r="C21" s="386" t="s">
        <v>60</v>
      </c>
      <c r="D21" s="403"/>
      <c r="E21" s="403"/>
      <c r="F21" s="390"/>
      <c r="G21" s="423"/>
      <c r="H21" s="380"/>
      <c r="I21" s="128"/>
      <c r="J21" s="137"/>
      <c r="K21" s="17"/>
    </row>
    <row r="22" spans="2:11" x14ac:dyDescent="0.3">
      <c r="B22" s="395"/>
      <c r="C22" s="386" t="s">
        <v>445</v>
      </c>
      <c r="D22" s="403"/>
      <c r="E22" s="388"/>
      <c r="F22" s="399"/>
      <c r="G22" s="423"/>
      <c r="H22" s="380"/>
      <c r="I22" s="128"/>
      <c r="J22" s="137"/>
      <c r="K22" s="17"/>
    </row>
    <row r="23" spans="2:11" ht="17.25" thickBot="1" x14ac:dyDescent="0.35">
      <c r="B23" s="395"/>
      <c r="C23" s="391" t="s">
        <v>453</v>
      </c>
      <c r="D23" s="404"/>
      <c r="E23" s="405"/>
      <c r="F23" s="406"/>
      <c r="G23" s="423"/>
      <c r="H23" s="380"/>
      <c r="I23" s="128"/>
      <c r="J23" s="137"/>
      <c r="K23" s="17"/>
    </row>
    <row r="24" spans="2:11" ht="17.25" thickBot="1" x14ac:dyDescent="0.35">
      <c r="B24" s="395"/>
      <c r="C24" s="407"/>
      <c r="D24" s="388"/>
      <c r="E24" s="388"/>
      <c r="F24" s="388"/>
      <c r="G24" s="428"/>
      <c r="H24" s="380"/>
      <c r="I24" s="128"/>
      <c r="J24" s="137"/>
      <c r="K24" s="17"/>
    </row>
    <row r="25" spans="2:11" ht="18" thickBot="1" x14ac:dyDescent="0.4">
      <c r="B25" s="395"/>
      <c r="C25" s="913" t="s">
        <v>61</v>
      </c>
      <c r="D25" s="914"/>
      <c r="E25" s="914"/>
      <c r="F25" s="915"/>
      <c r="G25" s="423"/>
      <c r="H25" s="380"/>
      <c r="I25" s="128"/>
      <c r="J25" s="137"/>
      <c r="K25" s="17"/>
    </row>
    <row r="26" spans="2:11" ht="17.25" x14ac:dyDescent="0.35">
      <c r="B26" s="395"/>
      <c r="C26" s="429"/>
      <c r="D26" s="957" t="s">
        <v>48</v>
      </c>
      <c r="E26" s="955"/>
      <c r="F26" s="956"/>
      <c r="G26" s="423"/>
      <c r="H26" s="380"/>
      <c r="I26" s="128"/>
      <c r="J26" s="137"/>
      <c r="K26" s="17"/>
    </row>
    <row r="27" spans="2:11" ht="17.25" x14ac:dyDescent="0.35">
      <c r="B27" s="400"/>
      <c r="C27" s="408"/>
      <c r="D27" s="409" t="s">
        <v>56</v>
      </c>
      <c r="E27" s="409" t="s">
        <v>57</v>
      </c>
      <c r="F27" s="410" t="s">
        <v>58</v>
      </c>
      <c r="G27" s="423"/>
      <c r="H27" s="380"/>
      <c r="I27" s="128"/>
      <c r="J27" s="137"/>
      <c r="K27" s="17"/>
    </row>
    <row r="28" spans="2:11" x14ac:dyDescent="0.3">
      <c r="B28" s="395"/>
      <c r="C28" s="386" t="s">
        <v>62</v>
      </c>
      <c r="D28" s="403"/>
      <c r="E28" s="403"/>
      <c r="F28" s="390"/>
      <c r="G28" s="423"/>
      <c r="H28" s="380"/>
      <c r="I28" s="128"/>
      <c r="J28" s="137"/>
      <c r="K28" s="17"/>
    </row>
    <row r="29" spans="2:11" x14ac:dyDescent="0.3">
      <c r="B29" s="395"/>
      <c r="C29" s="386" t="s">
        <v>63</v>
      </c>
      <c r="D29" s="403"/>
      <c r="E29" s="403"/>
      <c r="F29" s="390"/>
      <c r="G29" s="423"/>
      <c r="H29" s="380"/>
      <c r="I29" s="128"/>
      <c r="J29" s="137"/>
      <c r="K29" s="17"/>
    </row>
    <row r="30" spans="2:11" x14ac:dyDescent="0.3">
      <c r="B30" s="395"/>
      <c r="C30" s="386" t="s">
        <v>64</v>
      </c>
      <c r="D30" s="403"/>
      <c r="E30" s="403"/>
      <c r="F30" s="390"/>
      <c r="G30" s="423"/>
      <c r="H30" s="380"/>
      <c r="I30" s="128"/>
      <c r="J30" s="137"/>
      <c r="K30" s="17"/>
    </row>
    <row r="31" spans="2:11" x14ac:dyDescent="0.3">
      <c r="B31" s="395"/>
      <c r="C31" s="386" t="s">
        <v>422</v>
      </c>
      <c r="D31" s="403"/>
      <c r="E31" s="403"/>
      <c r="F31" s="390"/>
      <c r="G31" s="423"/>
      <c r="H31" s="380"/>
      <c r="I31" s="128"/>
      <c r="J31" s="137"/>
      <c r="K31" s="17"/>
    </row>
    <row r="32" spans="2:11" ht="17.25" thickBot="1" x14ac:dyDescent="0.35">
      <c r="B32" s="395"/>
      <c r="C32" s="391" t="s">
        <v>437</v>
      </c>
      <c r="D32" s="404"/>
      <c r="E32" s="404"/>
      <c r="F32" s="392"/>
      <c r="G32" s="423"/>
      <c r="H32" s="380"/>
      <c r="I32" s="128"/>
      <c r="J32" s="137"/>
      <c r="K32" s="17"/>
    </row>
    <row r="33" spans="2:11" ht="17.25" thickBot="1" x14ac:dyDescent="0.35">
      <c r="B33" s="395"/>
      <c r="C33" s="388"/>
      <c r="D33" s="388"/>
      <c r="E33" s="388"/>
      <c r="F33" s="417"/>
      <c r="G33" s="428"/>
      <c r="H33" s="380"/>
      <c r="I33" s="128"/>
      <c r="J33" s="137"/>
      <c r="K33" s="17"/>
    </row>
    <row r="34" spans="2:11" ht="18" thickBot="1" x14ac:dyDescent="0.4">
      <c r="B34" s="395"/>
      <c r="C34" s="913" t="s">
        <v>65</v>
      </c>
      <c r="D34" s="914"/>
      <c r="E34" s="914"/>
      <c r="F34" s="915"/>
      <c r="G34" s="423"/>
      <c r="H34" s="380"/>
      <c r="I34" s="128"/>
      <c r="J34" s="137"/>
      <c r="K34" s="17"/>
    </row>
    <row r="35" spans="2:11" ht="17.25" x14ac:dyDescent="0.35">
      <c r="B35" s="395"/>
      <c r="C35" s="398"/>
      <c r="D35" s="957" t="s">
        <v>48</v>
      </c>
      <c r="E35" s="955"/>
      <c r="F35" s="956"/>
      <c r="G35" s="423"/>
      <c r="H35" s="380"/>
      <c r="I35" s="128"/>
      <c r="J35" s="137"/>
      <c r="K35" s="17"/>
    </row>
    <row r="36" spans="2:11" ht="17.25" x14ac:dyDescent="0.35">
      <c r="B36" s="400"/>
      <c r="C36" s="395"/>
      <c r="D36" s="409" t="s">
        <v>56</v>
      </c>
      <c r="E36" s="409" t="s">
        <v>57</v>
      </c>
      <c r="F36" s="410" t="s">
        <v>58</v>
      </c>
      <c r="G36" s="423"/>
      <c r="H36" s="380"/>
      <c r="I36" s="128"/>
      <c r="J36" s="137"/>
      <c r="K36" s="17"/>
    </row>
    <row r="37" spans="2:11" x14ac:dyDescent="0.3">
      <c r="B37" s="395"/>
      <c r="C37" s="386" t="s">
        <v>66</v>
      </c>
      <c r="D37" s="403"/>
      <c r="E37" s="403"/>
      <c r="F37" s="390"/>
      <c r="G37" s="423"/>
      <c r="H37" s="380"/>
      <c r="I37" s="128"/>
      <c r="J37" s="137"/>
      <c r="K37" s="17"/>
    </row>
    <row r="38" spans="2:11" x14ac:dyDescent="0.3">
      <c r="B38" s="395"/>
      <c r="C38" s="386" t="s">
        <v>67</v>
      </c>
      <c r="D38" s="403"/>
      <c r="E38" s="403"/>
      <c r="F38" s="390"/>
      <c r="G38" s="423"/>
      <c r="H38" s="380"/>
      <c r="I38" s="128"/>
      <c r="J38" s="137"/>
      <c r="K38" s="17"/>
    </row>
    <row r="39" spans="2:11" x14ac:dyDescent="0.3">
      <c r="B39" s="395"/>
      <c r="C39" s="386" t="s">
        <v>68</v>
      </c>
      <c r="D39" s="403"/>
      <c r="E39" s="403"/>
      <c r="F39" s="390"/>
      <c r="G39" s="423"/>
      <c r="H39" s="380"/>
      <c r="I39" s="128"/>
      <c r="J39" s="137"/>
      <c r="K39" s="17"/>
    </row>
    <row r="40" spans="2:11" x14ac:dyDescent="0.3">
      <c r="B40" s="395"/>
      <c r="C40" s="386" t="s">
        <v>69</v>
      </c>
      <c r="D40" s="403"/>
      <c r="E40" s="403"/>
      <c r="F40" s="390"/>
      <c r="G40" s="423"/>
      <c r="H40" s="380"/>
      <c r="I40" s="128"/>
      <c r="J40" s="137"/>
      <c r="K40" s="17"/>
    </row>
    <row r="41" spans="2:11" x14ac:dyDescent="0.3">
      <c r="B41" s="395"/>
      <c r="C41" s="386" t="s">
        <v>70</v>
      </c>
      <c r="D41" s="403"/>
      <c r="E41" s="403"/>
      <c r="F41" s="390"/>
      <c r="G41" s="423"/>
      <c r="H41" s="380"/>
      <c r="I41" s="128"/>
      <c r="J41" s="137"/>
      <c r="K41" s="17"/>
    </row>
    <row r="42" spans="2:11" x14ac:dyDescent="0.3">
      <c r="B42" s="395"/>
      <c r="C42" s="386" t="s">
        <v>71</v>
      </c>
      <c r="D42" s="403"/>
      <c r="E42" s="403"/>
      <c r="F42" s="390"/>
      <c r="G42" s="423"/>
      <c r="H42" s="380"/>
      <c r="I42" s="128"/>
      <c r="J42" s="137"/>
      <c r="K42" s="17"/>
    </row>
    <row r="43" spans="2:11" x14ac:dyDescent="0.3">
      <c r="B43" s="395"/>
      <c r="C43" s="386" t="s">
        <v>72</v>
      </c>
      <c r="D43" s="403"/>
      <c r="E43" s="403"/>
      <c r="F43" s="390"/>
      <c r="G43" s="423"/>
      <c r="H43" s="380"/>
      <c r="I43" s="128"/>
      <c r="J43" s="137"/>
      <c r="K43" s="17"/>
    </row>
    <row r="44" spans="2:11" x14ac:dyDescent="0.3">
      <c r="B44" s="395"/>
      <c r="C44" s="386" t="s">
        <v>73</v>
      </c>
      <c r="D44" s="403"/>
      <c r="E44" s="403"/>
      <c r="F44" s="390"/>
      <c r="G44" s="423"/>
      <c r="H44" s="380"/>
      <c r="I44" s="128"/>
      <c r="J44" s="137"/>
      <c r="K44" s="17"/>
    </row>
    <row r="45" spans="2:11" x14ac:dyDescent="0.3">
      <c r="B45" s="395"/>
      <c r="C45" s="386" t="s">
        <v>74</v>
      </c>
      <c r="D45" s="403"/>
      <c r="E45" s="403"/>
      <c r="F45" s="390"/>
      <c r="G45" s="423"/>
      <c r="H45" s="380"/>
      <c r="I45" s="128"/>
      <c r="J45" s="137"/>
      <c r="K45" s="17"/>
    </row>
    <row r="46" spans="2:11" x14ac:dyDescent="0.3">
      <c r="B46" s="395"/>
      <c r="C46" s="386" t="s">
        <v>75</v>
      </c>
      <c r="D46" s="403"/>
      <c r="E46" s="403"/>
      <c r="F46" s="390"/>
      <c r="G46" s="423"/>
      <c r="H46" s="380"/>
      <c r="I46" s="128"/>
      <c r="J46" s="137"/>
      <c r="K46" s="17"/>
    </row>
    <row r="47" spans="2:11" ht="17.25" thickBot="1" x14ac:dyDescent="0.35">
      <c r="B47" s="395"/>
      <c r="C47" s="391" t="s">
        <v>76</v>
      </c>
      <c r="D47" s="404"/>
      <c r="E47" s="404"/>
      <c r="F47" s="392"/>
      <c r="G47" s="423"/>
      <c r="H47" s="380"/>
      <c r="I47" s="128"/>
      <c r="J47" s="137"/>
      <c r="K47" s="17"/>
    </row>
    <row r="48" spans="2:11" ht="17.25" thickBot="1" x14ac:dyDescent="0.35">
      <c r="B48" s="395"/>
      <c r="C48" s="388"/>
      <c r="D48" s="388"/>
      <c r="E48" s="388"/>
      <c r="F48" s="388"/>
      <c r="G48" s="428"/>
      <c r="H48" s="380"/>
      <c r="I48" s="128"/>
      <c r="J48" s="137"/>
      <c r="K48" s="17"/>
    </row>
    <row r="49" spans="2:11" ht="18" thickBot="1" x14ac:dyDescent="0.4">
      <c r="B49" s="395"/>
      <c r="C49" s="913" t="s">
        <v>77</v>
      </c>
      <c r="D49" s="914"/>
      <c r="E49" s="914"/>
      <c r="F49" s="915"/>
      <c r="G49" s="423"/>
      <c r="H49" s="380"/>
      <c r="I49" s="128"/>
      <c r="J49" s="137"/>
      <c r="K49" s="17"/>
    </row>
    <row r="50" spans="2:11" ht="17.25" x14ac:dyDescent="0.35">
      <c r="B50" s="395"/>
      <c r="C50" s="398"/>
      <c r="D50" s="957" t="s">
        <v>48</v>
      </c>
      <c r="E50" s="955"/>
      <c r="F50" s="956"/>
      <c r="G50" s="423"/>
      <c r="H50" s="380"/>
      <c r="I50" s="128"/>
      <c r="J50" s="137"/>
      <c r="K50" s="17"/>
    </row>
    <row r="51" spans="2:11" ht="17.25" x14ac:dyDescent="0.35">
      <c r="B51" s="400"/>
      <c r="C51" s="395"/>
      <c r="D51" s="409" t="s">
        <v>56</v>
      </c>
      <c r="E51" s="409" t="s">
        <v>57</v>
      </c>
      <c r="F51" s="410" t="s">
        <v>58</v>
      </c>
      <c r="G51" s="423"/>
      <c r="H51" s="380"/>
      <c r="I51" s="128"/>
      <c r="J51" s="137"/>
      <c r="K51" s="17"/>
    </row>
    <row r="52" spans="2:11" x14ac:dyDescent="0.3">
      <c r="B52" s="395"/>
      <c r="C52" s="386" t="s">
        <v>306</v>
      </c>
      <c r="D52" s="403"/>
      <c r="E52" s="403"/>
      <c r="F52" s="390"/>
      <c r="G52" s="423"/>
      <c r="H52" s="380"/>
      <c r="I52" s="128"/>
      <c r="J52" s="137"/>
      <c r="K52" s="17"/>
    </row>
    <row r="53" spans="2:11" x14ac:dyDescent="0.3">
      <c r="B53" s="395"/>
      <c r="C53" s="386" t="s">
        <v>307</v>
      </c>
      <c r="D53" s="403"/>
      <c r="E53" s="403"/>
      <c r="F53" s="390"/>
      <c r="G53" s="423"/>
      <c r="H53" s="380"/>
      <c r="I53" s="128"/>
      <c r="J53" s="137"/>
      <c r="K53" s="17"/>
    </row>
    <row r="54" spans="2:11" x14ac:dyDescent="0.3">
      <c r="B54" s="395"/>
      <c r="C54" s="386" t="s">
        <v>80</v>
      </c>
      <c r="D54" s="403"/>
      <c r="E54" s="403"/>
      <c r="F54" s="390"/>
      <c r="G54" s="423"/>
      <c r="H54" s="380"/>
      <c r="I54" s="128"/>
      <c r="J54" s="137"/>
      <c r="K54" s="17"/>
    </row>
    <row r="55" spans="2:11" x14ac:dyDescent="0.3">
      <c r="B55" s="395"/>
      <c r="C55" s="386" t="s">
        <v>81</v>
      </c>
      <c r="D55" s="403"/>
      <c r="E55" s="403"/>
      <c r="F55" s="390"/>
      <c r="G55" s="423"/>
      <c r="H55" s="380"/>
      <c r="I55" s="128"/>
      <c r="J55" s="137"/>
      <c r="K55" s="17"/>
    </row>
    <row r="56" spans="2:11" ht="17.25" thickBot="1" x14ac:dyDescent="0.35">
      <c r="B56" s="395"/>
      <c r="C56" s="412" t="s">
        <v>438</v>
      </c>
      <c r="D56" s="404"/>
      <c r="E56" s="404"/>
      <c r="F56" s="392"/>
      <c r="G56" s="423"/>
      <c r="H56" s="380"/>
      <c r="K56" s="17"/>
    </row>
    <row r="57" spans="2:11" ht="17.25" thickBot="1" x14ac:dyDescent="0.35">
      <c r="B57" s="395"/>
      <c r="C57" s="388"/>
      <c r="D57" s="388"/>
      <c r="E57" s="388"/>
      <c r="F57" s="417"/>
      <c r="G57" s="428"/>
      <c r="H57" s="380"/>
      <c r="I57" s="128"/>
      <c r="J57" s="137"/>
      <c r="K57" s="17"/>
    </row>
    <row r="58" spans="2:11" ht="18" thickBot="1" x14ac:dyDescent="0.4">
      <c r="B58" s="395"/>
      <c r="C58" s="913" t="s">
        <v>82</v>
      </c>
      <c r="D58" s="914"/>
      <c r="E58" s="914"/>
      <c r="F58" s="915"/>
      <c r="G58" s="423"/>
      <c r="H58" s="380"/>
      <c r="I58" s="128"/>
      <c r="J58" s="137"/>
      <c r="K58" s="17"/>
    </row>
    <row r="59" spans="2:11" ht="17.25" x14ac:dyDescent="0.35">
      <c r="B59" s="395"/>
      <c r="C59" s="398"/>
      <c r="D59" s="957" t="s">
        <v>48</v>
      </c>
      <c r="E59" s="955"/>
      <c r="F59" s="956"/>
      <c r="G59" s="423"/>
      <c r="H59" s="380"/>
      <c r="I59" s="128"/>
      <c r="J59" s="137"/>
      <c r="K59" s="17"/>
    </row>
    <row r="60" spans="2:11" ht="17.25" x14ac:dyDescent="0.35">
      <c r="B60" s="413"/>
      <c r="C60" s="395"/>
      <c r="D60" s="409" t="s">
        <v>56</v>
      </c>
      <c r="E60" s="409" t="s">
        <v>57</v>
      </c>
      <c r="F60" s="410" t="s">
        <v>58</v>
      </c>
      <c r="G60" s="423"/>
      <c r="H60" s="380"/>
      <c r="I60" s="128"/>
      <c r="J60" s="137"/>
      <c r="K60" s="17"/>
    </row>
    <row r="61" spans="2:11" x14ac:dyDescent="0.3">
      <c r="B61" s="395"/>
      <c r="C61" s="386" t="s">
        <v>83</v>
      </c>
      <c r="D61" s="403"/>
      <c r="E61" s="403"/>
      <c r="F61" s="390"/>
      <c r="G61" s="423"/>
      <c r="H61" s="380"/>
      <c r="I61" s="128"/>
      <c r="J61" s="137"/>
      <c r="K61" s="17"/>
    </row>
    <row r="62" spans="2:11" x14ac:dyDescent="0.3">
      <c r="B62" s="395"/>
      <c r="C62" s="386" t="s">
        <v>84</v>
      </c>
      <c r="D62" s="403"/>
      <c r="E62" s="403"/>
      <c r="F62" s="390"/>
      <c r="G62" s="423"/>
      <c r="H62" s="380"/>
      <c r="I62" s="128"/>
      <c r="J62" s="137"/>
      <c r="K62" s="17"/>
    </row>
    <row r="63" spans="2:11" x14ac:dyDescent="0.3">
      <c r="B63" s="395"/>
      <c r="C63" s="386" t="s">
        <v>85</v>
      </c>
      <c r="D63" s="403"/>
      <c r="E63" s="403"/>
      <c r="F63" s="390"/>
      <c r="G63" s="423"/>
      <c r="H63" s="380"/>
      <c r="I63" s="128"/>
      <c r="J63" s="137"/>
      <c r="K63" s="17"/>
    </row>
    <row r="64" spans="2:11" x14ac:dyDescent="0.3">
      <c r="B64" s="395"/>
      <c r="C64" s="386" t="s">
        <v>86</v>
      </c>
      <c r="D64" s="403"/>
      <c r="E64" s="403"/>
      <c r="F64" s="390"/>
      <c r="G64" s="423"/>
      <c r="H64" s="380"/>
      <c r="I64" s="128"/>
      <c r="J64" s="137"/>
      <c r="K64" s="17"/>
    </row>
    <row r="65" spans="2:11" x14ac:dyDescent="0.3">
      <c r="B65" s="395"/>
      <c r="C65" s="386" t="s">
        <v>87</v>
      </c>
      <c r="D65" s="403"/>
      <c r="E65" s="403"/>
      <c r="F65" s="390"/>
      <c r="G65" s="423"/>
      <c r="H65" s="380"/>
      <c r="I65" s="128"/>
      <c r="J65" s="137"/>
      <c r="K65" s="17"/>
    </row>
    <row r="66" spans="2:11" x14ac:dyDescent="0.3">
      <c r="B66" s="395"/>
      <c r="C66" s="386" t="s">
        <v>88</v>
      </c>
      <c r="D66" s="403"/>
      <c r="E66" s="403"/>
      <c r="F66" s="390"/>
      <c r="G66" s="423"/>
      <c r="H66" s="380"/>
      <c r="I66" s="128"/>
      <c r="J66" s="137"/>
      <c r="K66" s="17"/>
    </row>
    <row r="67" spans="2:11" x14ac:dyDescent="0.3">
      <c r="B67" s="395"/>
      <c r="C67" s="386" t="s">
        <v>89</v>
      </c>
      <c r="D67" s="403"/>
      <c r="E67" s="403"/>
      <c r="F67" s="390"/>
      <c r="G67" s="423"/>
      <c r="H67" s="380"/>
      <c r="I67" s="128"/>
      <c r="J67" s="137"/>
      <c r="K67" s="17"/>
    </row>
    <row r="68" spans="2:11" ht="17.25" thickBot="1" x14ac:dyDescent="0.35">
      <c r="B68" s="395"/>
      <c r="C68" s="391" t="s">
        <v>90</v>
      </c>
      <c r="D68" s="404"/>
      <c r="E68" s="404"/>
      <c r="F68" s="392"/>
      <c r="G68" s="423"/>
      <c r="H68" s="380"/>
      <c r="I68" s="128"/>
      <c r="J68" s="137"/>
      <c r="K68" s="17"/>
    </row>
    <row r="69" spans="2:11" ht="17.25" thickBot="1" x14ac:dyDescent="0.35">
      <c r="B69" s="395"/>
      <c r="C69" s="388"/>
      <c r="D69" s="388"/>
      <c r="E69" s="388"/>
      <c r="F69" s="388"/>
      <c r="G69" s="428"/>
      <c r="H69" s="380"/>
      <c r="I69" s="128"/>
      <c r="J69" s="137"/>
      <c r="K69" s="17"/>
    </row>
    <row r="70" spans="2:11" ht="18" thickBot="1" x14ac:dyDescent="0.4">
      <c r="B70" s="395"/>
      <c r="C70" s="913" t="s">
        <v>196</v>
      </c>
      <c r="D70" s="914"/>
      <c r="E70" s="914"/>
      <c r="F70" s="915"/>
      <c r="G70" s="423"/>
      <c r="H70" s="380"/>
      <c r="I70" s="128"/>
      <c r="J70" s="137"/>
      <c r="K70" s="17"/>
    </row>
    <row r="71" spans="2:11" ht="17.25" x14ac:dyDescent="0.35">
      <c r="B71" s="400"/>
      <c r="C71" s="398"/>
      <c r="D71" s="957" t="s">
        <v>48</v>
      </c>
      <c r="E71" s="955"/>
      <c r="F71" s="956"/>
      <c r="G71" s="428"/>
      <c r="H71" s="380"/>
      <c r="I71" s="128"/>
      <c r="J71" s="137"/>
      <c r="K71" s="17"/>
    </row>
    <row r="72" spans="2:11" x14ac:dyDescent="0.3">
      <c r="B72" s="395"/>
      <c r="C72" s="386" t="s">
        <v>195</v>
      </c>
      <c r="D72" s="921"/>
      <c r="E72" s="921"/>
      <c r="F72" s="922"/>
      <c r="G72" s="428"/>
      <c r="H72" s="380"/>
      <c r="I72" s="128"/>
      <c r="J72" s="137"/>
      <c r="K72" s="17"/>
    </row>
    <row r="73" spans="2:11" x14ac:dyDescent="0.3">
      <c r="B73" s="395"/>
      <c r="C73" s="386" t="s">
        <v>194</v>
      </c>
      <c r="D73" s="921"/>
      <c r="E73" s="921"/>
      <c r="F73" s="922"/>
      <c r="G73" s="428"/>
      <c r="H73" s="380"/>
      <c r="I73" s="128"/>
      <c r="J73" s="137"/>
      <c r="K73" s="17"/>
    </row>
    <row r="74" spans="2:11" x14ac:dyDescent="0.3">
      <c r="B74" s="395"/>
      <c r="C74" s="386" t="s">
        <v>308</v>
      </c>
      <c r="D74" s="921"/>
      <c r="E74" s="921"/>
      <c r="F74" s="922"/>
      <c r="G74" s="428"/>
      <c r="H74" s="380"/>
      <c r="I74" s="128"/>
      <c r="J74" s="137"/>
      <c r="K74" s="17"/>
    </row>
    <row r="75" spans="2:11" x14ac:dyDescent="0.3">
      <c r="B75" s="395"/>
      <c r="C75" s="386" t="s">
        <v>94</v>
      </c>
      <c r="D75" s="960" t="str">
        <f>IF(D72+D74=0,"",D72+D74)</f>
        <v/>
      </c>
      <c r="E75" s="960"/>
      <c r="F75" s="961"/>
      <c r="G75" s="428"/>
      <c r="H75" s="380"/>
      <c r="I75" s="129"/>
      <c r="J75" s="138"/>
      <c r="K75" s="17"/>
    </row>
    <row r="76" spans="2:11" x14ac:dyDescent="0.3">
      <c r="B76" s="395"/>
      <c r="C76" s="386" t="s">
        <v>193</v>
      </c>
      <c r="D76" s="921"/>
      <c r="E76" s="921"/>
      <c r="F76" s="922"/>
      <c r="G76" s="428"/>
      <c r="H76" s="380"/>
      <c r="I76" s="129"/>
      <c r="J76" s="138"/>
      <c r="K76" s="17"/>
    </row>
    <row r="77" spans="2:11" x14ac:dyDescent="0.3">
      <c r="B77" s="395"/>
      <c r="C77" s="386" t="s">
        <v>192</v>
      </c>
      <c r="D77" s="921"/>
      <c r="E77" s="921"/>
      <c r="F77" s="922"/>
      <c r="G77" s="428"/>
      <c r="H77" s="380"/>
      <c r="I77" s="129"/>
      <c r="J77" s="138"/>
      <c r="K77" s="17"/>
    </row>
    <row r="78" spans="2:11" x14ac:dyDescent="0.3">
      <c r="B78" s="395"/>
      <c r="C78" s="386" t="s">
        <v>191</v>
      </c>
      <c r="D78" s="921"/>
      <c r="E78" s="921"/>
      <c r="F78" s="922"/>
      <c r="G78" s="428"/>
      <c r="H78" s="380"/>
      <c r="I78" s="129"/>
      <c r="J78" s="138"/>
      <c r="K78" s="17"/>
    </row>
    <row r="79" spans="2:11" x14ac:dyDescent="0.3">
      <c r="B79" s="395"/>
      <c r="C79" s="386" t="s">
        <v>308</v>
      </c>
      <c r="D79" s="921"/>
      <c r="E79" s="921"/>
      <c r="F79" s="922"/>
      <c r="G79" s="428"/>
      <c r="H79" s="380"/>
      <c r="I79" s="129"/>
      <c r="J79" s="138"/>
      <c r="K79" s="17"/>
    </row>
    <row r="80" spans="2:11" ht="17.25" thickBot="1" x14ac:dyDescent="0.35">
      <c r="B80" s="395"/>
      <c r="C80" s="391" t="s">
        <v>94</v>
      </c>
      <c r="D80" s="958" t="str">
        <f>IF(D77+D79=0,"",D77+D79)</f>
        <v/>
      </c>
      <c r="E80" s="958"/>
      <c r="F80" s="959"/>
      <c r="G80" s="428"/>
      <c r="H80" s="380"/>
      <c r="I80" s="130"/>
      <c r="J80" s="137"/>
      <c r="K80" s="17"/>
    </row>
    <row r="81" spans="1:11" ht="17.25" thickBot="1" x14ac:dyDescent="0.35">
      <c r="B81" s="416"/>
      <c r="C81" s="405"/>
      <c r="D81" s="405"/>
      <c r="E81" s="405"/>
      <c r="F81" s="405"/>
      <c r="G81" s="433"/>
      <c r="H81" s="380"/>
      <c r="I81" s="130"/>
      <c r="J81" s="137"/>
      <c r="K81" s="17"/>
    </row>
    <row r="82" spans="1:11" ht="17.25" x14ac:dyDescent="0.35">
      <c r="B82" s="475"/>
      <c r="C82" s="434"/>
      <c r="D82" s="478"/>
      <c r="E82" s="434"/>
      <c r="F82" s="434"/>
      <c r="G82" s="434"/>
      <c r="H82" s="434"/>
      <c r="K82" s="17"/>
    </row>
    <row r="83" spans="1:11" s="16" customFormat="1" ht="17.25" x14ac:dyDescent="0.35">
      <c r="A83" s="17"/>
      <c r="B83" s="479"/>
      <c r="C83" s="477"/>
      <c r="D83" s="480"/>
      <c r="E83" s="480"/>
      <c r="F83" s="480"/>
      <c r="G83" s="477"/>
      <c r="H83" s="477"/>
      <c r="I83" s="17"/>
      <c r="J83" s="17"/>
      <c r="K83"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5">
    <mergeCell ref="H4:I4"/>
    <mergeCell ref="B2:C2"/>
    <mergeCell ref="C15:F15"/>
    <mergeCell ref="C25:F25"/>
    <mergeCell ref="C34:F34"/>
    <mergeCell ref="B11:G11"/>
    <mergeCell ref="E2:F2"/>
    <mergeCell ref="D16:F16"/>
    <mergeCell ref="D26:F26"/>
    <mergeCell ref="D35:F35"/>
    <mergeCell ref="D50:F50"/>
    <mergeCell ref="D59:F59"/>
    <mergeCell ref="D77:F77"/>
    <mergeCell ref="D78:F78"/>
    <mergeCell ref="D71:F71"/>
    <mergeCell ref="D74:F74"/>
    <mergeCell ref="D75:F75"/>
    <mergeCell ref="C49:F49"/>
    <mergeCell ref="C58:F58"/>
    <mergeCell ref="C70:F70"/>
    <mergeCell ref="D79:F79"/>
    <mergeCell ref="D80:F80"/>
    <mergeCell ref="D72:F72"/>
    <mergeCell ref="D73:F73"/>
    <mergeCell ref="D76:F76"/>
  </mergeCells>
  <phoneticPr fontId="26" type="noConversion"/>
  <conditionalFormatting sqref="D72:D80 D28:F32 D37:F47 D52:F56 D61:F68 D22:D23 D13 D18:F21">
    <cfRule type="expression" dxfId="55" priority="3" stopIfTrue="1">
      <formula>OR($I$5 = "Heating Only Central Heat Pump", $I$6 &lt;&gt; "Variable-Speed")</formula>
    </cfRule>
  </conditionalFormatting>
  <dataValidations count="1">
    <dataValidation type="list" showInputMessage="1" showErrorMessage="1" sqref="D13" xr:uid="{00000000-0002-0000-0D00-000000000000}">
      <formula1>Duration</formula1>
    </dataValidation>
  </dataValidations>
  <hyperlinks>
    <hyperlink ref="E2" location="Instructions!A1" display="Back to Instructions" xr:uid="{00000000-0004-0000-0D00-000000000000}"/>
    <hyperlink ref="E2:F2" location="Instructions!A1" display="Back to Instructions tab" xr:uid="{00000000-0004-0000-0D00-000001000000}"/>
  </hyperlinks>
  <pageMargins left="0.7" right="0.7" top="0.75" bottom="0.75" header="0.3" footer="0.3"/>
  <pageSetup orientation="portrait" horizontalDpi="200" verticalDpi="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70C0"/>
  </sheetPr>
  <dimension ref="A1:K81"/>
  <sheetViews>
    <sheetView showGridLines="0" showZeros="0" zoomScale="80" zoomScaleNormal="80" workbookViewId="0">
      <selection activeCell="E2" sqref="E2:F2"/>
    </sheetView>
  </sheetViews>
  <sheetFormatPr defaultColWidth="9.140625" defaultRowHeight="16.5" x14ac:dyDescent="0.3"/>
  <cols>
    <col min="1" max="1" width="4.7109375" style="15" customWidth="1"/>
    <col min="2" max="2" width="30.5703125" style="15" customWidth="1"/>
    <col min="3" max="3" width="67.85546875" style="15" customWidth="1"/>
    <col min="4" max="6" width="13.5703125" style="15" customWidth="1"/>
    <col min="7" max="7" width="7" style="15" customWidth="1"/>
    <col min="8" max="8" width="23.85546875" style="15" customWidth="1"/>
    <col min="9" max="9" width="21.42578125" style="15" customWidth="1"/>
    <col min="10" max="10" width="8.42578125" style="142" customWidth="1"/>
    <col min="11" max="11" width="5.42578125" style="15" customWidth="1"/>
    <col min="12" max="16384" width="9.140625" style="15"/>
  </cols>
  <sheetData>
    <row r="1" spans="2:11" ht="17.25" thickBot="1" x14ac:dyDescent="0.35">
      <c r="J1" s="123"/>
      <c r="K1" s="122"/>
    </row>
    <row r="2" spans="2:11" s="120" customFormat="1" ht="18" thickBot="1" x14ac:dyDescent="0.35">
      <c r="B2" s="805" t="s">
        <v>622</v>
      </c>
      <c r="C2" s="806"/>
      <c r="E2" s="840" t="s">
        <v>553</v>
      </c>
      <c r="F2" s="840"/>
      <c r="G2" s="333"/>
      <c r="J2" s="145"/>
      <c r="K2" s="146"/>
    </row>
    <row r="3" spans="2:11" s="120" customFormat="1" ht="17.25" customHeight="1" thickBot="1" x14ac:dyDescent="0.35">
      <c r="B3" s="365" t="s">
        <v>623</v>
      </c>
      <c r="C3" s="366" t="str">
        <f>'Version Control'!C3</f>
        <v>Commercial Air Conditioner and Heat Pump</v>
      </c>
      <c r="J3" s="145"/>
      <c r="K3" s="146"/>
    </row>
    <row r="4" spans="2:11" s="120" customFormat="1" ht="18" thickBot="1" x14ac:dyDescent="0.35">
      <c r="B4" s="367" t="s">
        <v>142</v>
      </c>
      <c r="C4" s="368" t="str">
        <f>'Version Control'!C4</f>
        <v>v2.2</v>
      </c>
      <c r="H4" s="985" t="s">
        <v>351</v>
      </c>
      <c r="I4" s="986"/>
      <c r="J4" s="145"/>
      <c r="K4" s="146"/>
    </row>
    <row r="5" spans="2:11" s="120" customFormat="1" x14ac:dyDescent="0.3">
      <c r="B5" s="367" t="s">
        <v>475</v>
      </c>
      <c r="C5" s="369">
        <f>'Version Control'!C5</f>
        <v>43353</v>
      </c>
      <c r="H5" s="55" t="s">
        <v>160</v>
      </c>
      <c r="I5" s="340">
        <f>'General Info and Test Results'!C24</f>
        <v>0</v>
      </c>
      <c r="J5" s="145"/>
      <c r="K5" s="146"/>
    </row>
    <row r="6" spans="2:11" s="120" customFormat="1" x14ac:dyDescent="0.3">
      <c r="B6" s="370" t="s">
        <v>141</v>
      </c>
      <c r="C6" s="371" t="str">
        <f ca="1">MID(CELL("filename",$A$1), FIND("]", CELL("filename", $A$1))+ 1, 255)</f>
        <v>H0-1 Test Recorded Data</v>
      </c>
      <c r="H6" s="56" t="s">
        <v>155</v>
      </c>
      <c r="I6" s="341">
        <f>'General Info and Test Results'!C25</f>
        <v>0</v>
      </c>
      <c r="J6" s="145"/>
      <c r="K6" s="146"/>
    </row>
    <row r="7" spans="2:11" s="120" customFormat="1" ht="17.25" thickBot="1" x14ac:dyDescent="0.35">
      <c r="B7" s="361" t="s">
        <v>140</v>
      </c>
      <c r="C7" s="362" t="str">
        <f ca="1">'Version Control'!C7</f>
        <v>Commercial Air Conditioner and Heat Pump - v2.2.xlsx</v>
      </c>
      <c r="H7" s="53" t="s">
        <v>201</v>
      </c>
      <c r="I7" s="342">
        <f>'General Info and Test Results'!C26</f>
        <v>0</v>
      </c>
      <c r="J7" s="145"/>
      <c r="K7" s="146"/>
    </row>
    <row r="8" spans="2:11" s="120" customFormat="1" ht="17.25" thickBot="1" x14ac:dyDescent="0.35">
      <c r="B8" s="372" t="s">
        <v>143</v>
      </c>
      <c r="C8" s="373" t="str">
        <f>'Version Control'!C8</f>
        <v>[MM/DD/YYYY]</v>
      </c>
      <c r="G8" s="12"/>
      <c r="H8" s="144"/>
      <c r="J8" s="145"/>
      <c r="K8" s="146"/>
    </row>
    <row r="9" spans="2:11" s="120" customFormat="1" x14ac:dyDescent="0.3">
      <c r="B9" s="57"/>
      <c r="C9" s="232"/>
      <c r="G9" s="12"/>
      <c r="H9" s="144"/>
      <c r="J9" s="145"/>
      <c r="K9" s="146"/>
    </row>
    <row r="10" spans="2:11" s="120" customFormat="1" ht="17.25" thickBot="1" x14ac:dyDescent="0.35">
      <c r="B10" s="481"/>
      <c r="C10" s="450"/>
      <c r="D10" s="482"/>
      <c r="E10" s="482"/>
      <c r="F10" s="482"/>
      <c r="G10" s="483"/>
      <c r="H10" s="484"/>
      <c r="J10" s="145"/>
      <c r="K10" s="146"/>
    </row>
    <row r="11" spans="2:11" s="141" customFormat="1" ht="18.75" thickBot="1" x14ac:dyDescent="0.4">
      <c r="B11" s="939" t="s">
        <v>492</v>
      </c>
      <c r="C11" s="940"/>
      <c r="D11" s="940"/>
      <c r="E11" s="940"/>
      <c r="F11" s="940"/>
      <c r="G11" s="941"/>
      <c r="H11" s="485"/>
      <c r="J11" s="147"/>
      <c r="K11" s="148"/>
    </row>
    <row r="12" spans="2:11" ht="18" thickBot="1" x14ac:dyDescent="0.4">
      <c r="B12" s="486"/>
      <c r="C12" s="487"/>
      <c r="D12" s="487"/>
      <c r="E12" s="487"/>
      <c r="F12" s="487"/>
      <c r="G12" s="488"/>
      <c r="H12" s="484"/>
      <c r="K12" s="122"/>
    </row>
    <row r="13" spans="2:11" ht="18" thickBot="1" x14ac:dyDescent="0.4">
      <c r="B13" s="489"/>
      <c r="C13" s="982" t="s">
        <v>55</v>
      </c>
      <c r="D13" s="983"/>
      <c r="E13" s="983"/>
      <c r="F13" s="984"/>
      <c r="G13" s="490"/>
      <c r="H13" s="484"/>
      <c r="K13" s="122"/>
    </row>
    <row r="14" spans="2:11" ht="15" customHeight="1" x14ac:dyDescent="0.35">
      <c r="B14" s="491"/>
      <c r="C14" s="492"/>
      <c r="D14" s="957" t="s">
        <v>48</v>
      </c>
      <c r="E14" s="955"/>
      <c r="F14" s="956"/>
      <c r="G14" s="490"/>
      <c r="H14" s="484"/>
      <c r="I14" s="149"/>
      <c r="J14" s="150"/>
      <c r="K14" s="122"/>
    </row>
    <row r="15" spans="2:11" ht="17.25" x14ac:dyDescent="0.35">
      <c r="B15" s="489"/>
      <c r="C15" s="491"/>
      <c r="D15" s="409" t="s">
        <v>56</v>
      </c>
      <c r="E15" s="409" t="s">
        <v>57</v>
      </c>
      <c r="F15" s="410" t="s">
        <v>58</v>
      </c>
      <c r="G15" s="490"/>
      <c r="H15" s="484"/>
      <c r="I15" s="149"/>
      <c r="J15" s="150"/>
      <c r="K15" s="122"/>
    </row>
    <row r="16" spans="2:11" x14ac:dyDescent="0.3">
      <c r="B16" s="491"/>
      <c r="C16" s="386" t="s">
        <v>442</v>
      </c>
      <c r="D16" s="493"/>
      <c r="E16" s="493"/>
      <c r="F16" s="494"/>
      <c r="G16" s="490"/>
      <c r="H16" s="484"/>
      <c r="I16" s="151"/>
      <c r="J16" s="152"/>
      <c r="K16" s="122"/>
    </row>
    <row r="17" spans="2:11" x14ac:dyDescent="0.3">
      <c r="B17" s="491"/>
      <c r="C17" s="386" t="s">
        <v>443</v>
      </c>
      <c r="D17" s="493"/>
      <c r="E17" s="493"/>
      <c r="F17" s="494"/>
      <c r="G17" s="490"/>
      <c r="H17" s="484"/>
      <c r="I17" s="151"/>
      <c r="J17" s="152"/>
      <c r="K17" s="122"/>
    </row>
    <row r="18" spans="2:11" x14ac:dyDescent="0.3">
      <c r="B18" s="491"/>
      <c r="C18" s="411" t="s">
        <v>59</v>
      </c>
      <c r="D18" s="493"/>
      <c r="E18" s="493"/>
      <c r="F18" s="494"/>
      <c r="G18" s="490"/>
      <c r="H18" s="484"/>
      <c r="I18" s="151"/>
      <c r="J18" s="152"/>
      <c r="K18" s="122"/>
    </row>
    <row r="19" spans="2:11" x14ac:dyDescent="0.3">
      <c r="B19" s="491"/>
      <c r="C19" s="411" t="s">
        <v>60</v>
      </c>
      <c r="D19" s="493"/>
      <c r="E19" s="493"/>
      <c r="F19" s="494"/>
      <c r="G19" s="490"/>
      <c r="H19" s="484"/>
      <c r="I19" s="151"/>
      <c r="J19" s="152"/>
      <c r="K19" s="122"/>
    </row>
    <row r="20" spans="2:11" x14ac:dyDescent="0.3">
      <c r="B20" s="491"/>
      <c r="C20" s="386" t="s">
        <v>445</v>
      </c>
      <c r="D20" s="493"/>
      <c r="E20" s="442"/>
      <c r="F20" s="495"/>
      <c r="G20" s="490"/>
      <c r="H20" s="484"/>
      <c r="I20" s="151"/>
      <c r="J20" s="152"/>
      <c r="K20" s="122"/>
    </row>
    <row r="21" spans="2:11" ht="17.25" thickBot="1" x14ac:dyDescent="0.35">
      <c r="B21" s="491"/>
      <c r="C21" s="391" t="s">
        <v>453</v>
      </c>
      <c r="D21" s="496"/>
      <c r="E21" s="497"/>
      <c r="F21" s="498"/>
      <c r="G21" s="490"/>
      <c r="H21" s="484"/>
      <c r="I21" s="151"/>
      <c r="J21" s="152"/>
      <c r="K21" s="122"/>
    </row>
    <row r="22" spans="2:11" ht="17.25" thickBot="1" x14ac:dyDescent="0.35">
      <c r="B22" s="491"/>
      <c r="C22" s="499"/>
      <c r="D22" s="442"/>
      <c r="E22" s="442"/>
      <c r="F22" s="442"/>
      <c r="G22" s="500"/>
      <c r="H22" s="484"/>
      <c r="I22" s="151"/>
      <c r="J22" s="152"/>
      <c r="K22" s="122"/>
    </row>
    <row r="23" spans="2:11" ht="18" thickBot="1" x14ac:dyDescent="0.4">
      <c r="B23" s="491"/>
      <c r="C23" s="982" t="s">
        <v>61</v>
      </c>
      <c r="D23" s="983"/>
      <c r="E23" s="983"/>
      <c r="F23" s="984"/>
      <c r="G23" s="490"/>
      <c r="H23" s="484"/>
      <c r="I23" s="151"/>
      <c r="J23" s="152"/>
      <c r="K23" s="122"/>
    </row>
    <row r="24" spans="2:11" ht="15" customHeight="1" x14ac:dyDescent="0.35">
      <c r="B24" s="491"/>
      <c r="C24" s="501"/>
      <c r="D24" s="957" t="s">
        <v>48</v>
      </c>
      <c r="E24" s="955"/>
      <c r="F24" s="956"/>
      <c r="G24" s="490"/>
      <c r="H24" s="484"/>
      <c r="I24" s="151"/>
      <c r="J24" s="152"/>
      <c r="K24" s="122"/>
    </row>
    <row r="25" spans="2:11" ht="17.25" x14ac:dyDescent="0.35">
      <c r="B25" s="489"/>
      <c r="C25" s="502"/>
      <c r="D25" s="409" t="s">
        <v>56</v>
      </c>
      <c r="E25" s="409" t="s">
        <v>57</v>
      </c>
      <c r="F25" s="410" t="s">
        <v>58</v>
      </c>
      <c r="G25" s="490"/>
      <c r="H25" s="484"/>
      <c r="I25" s="151"/>
      <c r="J25" s="152"/>
      <c r="K25" s="122"/>
    </row>
    <row r="26" spans="2:11" x14ac:dyDescent="0.3">
      <c r="B26" s="491"/>
      <c r="C26" s="411" t="s">
        <v>62</v>
      </c>
      <c r="D26" s="493"/>
      <c r="E26" s="493"/>
      <c r="F26" s="494"/>
      <c r="G26" s="490"/>
      <c r="H26" s="484"/>
      <c r="I26" s="151"/>
      <c r="J26" s="152"/>
      <c r="K26" s="122"/>
    </row>
    <row r="27" spans="2:11" x14ac:dyDescent="0.3">
      <c r="B27" s="491"/>
      <c r="C27" s="411" t="s">
        <v>63</v>
      </c>
      <c r="D27" s="493"/>
      <c r="E27" s="493"/>
      <c r="F27" s="494"/>
      <c r="G27" s="490"/>
      <c r="H27" s="484"/>
      <c r="I27" s="151"/>
      <c r="J27" s="152"/>
      <c r="K27" s="122"/>
    </row>
    <row r="28" spans="2:11" x14ac:dyDescent="0.3">
      <c r="B28" s="491"/>
      <c r="C28" s="411" t="s">
        <v>64</v>
      </c>
      <c r="D28" s="493"/>
      <c r="E28" s="493"/>
      <c r="F28" s="494"/>
      <c r="G28" s="490"/>
      <c r="H28" s="484"/>
      <c r="I28" s="151"/>
      <c r="J28" s="152"/>
      <c r="K28" s="122"/>
    </row>
    <row r="29" spans="2:11" x14ac:dyDescent="0.3">
      <c r="B29" s="491"/>
      <c r="C29" s="411" t="s">
        <v>422</v>
      </c>
      <c r="D29" s="493"/>
      <c r="E29" s="493"/>
      <c r="F29" s="494"/>
      <c r="G29" s="490"/>
      <c r="H29" s="484"/>
      <c r="I29" s="151"/>
      <c r="J29" s="152"/>
      <c r="K29" s="122"/>
    </row>
    <row r="30" spans="2:11" ht="17.25" thickBot="1" x14ac:dyDescent="0.35">
      <c r="B30" s="491"/>
      <c r="C30" s="391" t="s">
        <v>437</v>
      </c>
      <c r="D30" s="496"/>
      <c r="E30" s="496"/>
      <c r="F30" s="503"/>
      <c r="G30" s="490"/>
      <c r="H30" s="484"/>
      <c r="I30" s="151"/>
      <c r="J30" s="152"/>
      <c r="K30" s="122"/>
    </row>
    <row r="31" spans="2:11" ht="17.25" thickBot="1" x14ac:dyDescent="0.35">
      <c r="B31" s="491"/>
      <c r="C31" s="442"/>
      <c r="D31" s="442"/>
      <c r="E31" s="442"/>
      <c r="F31" s="442"/>
      <c r="G31" s="500"/>
      <c r="H31" s="484"/>
      <c r="I31" s="151"/>
      <c r="J31" s="152"/>
      <c r="K31" s="122"/>
    </row>
    <row r="32" spans="2:11" ht="18" thickBot="1" x14ac:dyDescent="0.4">
      <c r="B32" s="491"/>
      <c r="C32" s="913" t="s">
        <v>65</v>
      </c>
      <c r="D32" s="914"/>
      <c r="E32" s="914"/>
      <c r="F32" s="915"/>
      <c r="G32" s="490"/>
      <c r="H32" s="484"/>
      <c r="I32" s="151"/>
      <c r="J32" s="152"/>
      <c r="K32" s="122"/>
    </row>
    <row r="33" spans="2:11" ht="17.25" x14ac:dyDescent="0.35">
      <c r="B33" s="491"/>
      <c r="C33" s="492"/>
      <c r="D33" s="957" t="s">
        <v>48</v>
      </c>
      <c r="E33" s="955"/>
      <c r="F33" s="956"/>
      <c r="G33" s="490"/>
      <c r="H33" s="484"/>
      <c r="I33" s="151"/>
      <c r="J33" s="152"/>
      <c r="K33" s="122"/>
    </row>
    <row r="34" spans="2:11" ht="17.25" x14ac:dyDescent="0.35">
      <c r="B34" s="489"/>
      <c r="C34" s="491"/>
      <c r="D34" s="409" t="s">
        <v>56</v>
      </c>
      <c r="E34" s="409" t="s">
        <v>57</v>
      </c>
      <c r="F34" s="410" t="s">
        <v>58</v>
      </c>
      <c r="G34" s="490"/>
      <c r="H34" s="484"/>
      <c r="I34" s="151"/>
      <c r="J34" s="152"/>
      <c r="K34" s="122"/>
    </row>
    <row r="35" spans="2:11" x14ac:dyDescent="0.3">
      <c r="B35" s="491"/>
      <c r="C35" s="411" t="s">
        <v>66</v>
      </c>
      <c r="D35" s="493"/>
      <c r="E35" s="493"/>
      <c r="F35" s="494"/>
      <c r="G35" s="490"/>
      <c r="H35" s="484"/>
      <c r="I35" s="151"/>
      <c r="J35" s="152"/>
      <c r="K35" s="122"/>
    </row>
    <row r="36" spans="2:11" x14ac:dyDescent="0.3">
      <c r="B36" s="491"/>
      <c r="C36" s="411" t="s">
        <v>67</v>
      </c>
      <c r="D36" s="493"/>
      <c r="E36" s="493"/>
      <c r="F36" s="494"/>
      <c r="G36" s="490"/>
      <c r="H36" s="484"/>
      <c r="I36" s="151"/>
      <c r="J36" s="152"/>
      <c r="K36" s="122"/>
    </row>
    <row r="37" spans="2:11" x14ac:dyDescent="0.3">
      <c r="B37" s="491"/>
      <c r="C37" s="411" t="s">
        <v>68</v>
      </c>
      <c r="D37" s="493"/>
      <c r="E37" s="493"/>
      <c r="F37" s="494"/>
      <c r="G37" s="490"/>
      <c r="H37" s="484"/>
      <c r="I37" s="151"/>
      <c r="J37" s="152"/>
      <c r="K37" s="122"/>
    </row>
    <row r="38" spans="2:11" x14ac:dyDescent="0.3">
      <c r="B38" s="491"/>
      <c r="C38" s="411" t="s">
        <v>69</v>
      </c>
      <c r="D38" s="493"/>
      <c r="E38" s="493"/>
      <c r="F38" s="494"/>
      <c r="G38" s="490"/>
      <c r="H38" s="484"/>
      <c r="I38" s="151"/>
      <c r="J38" s="152"/>
      <c r="K38" s="122"/>
    </row>
    <row r="39" spans="2:11" x14ac:dyDescent="0.3">
      <c r="B39" s="491"/>
      <c r="C39" s="411" t="s">
        <v>70</v>
      </c>
      <c r="D39" s="493"/>
      <c r="E39" s="493"/>
      <c r="F39" s="494"/>
      <c r="G39" s="490"/>
      <c r="H39" s="484"/>
      <c r="I39" s="151"/>
      <c r="J39" s="152"/>
      <c r="K39" s="122"/>
    </row>
    <row r="40" spans="2:11" x14ac:dyDescent="0.3">
      <c r="B40" s="491"/>
      <c r="C40" s="411" t="s">
        <v>71</v>
      </c>
      <c r="D40" s="493"/>
      <c r="E40" s="493"/>
      <c r="F40" s="494"/>
      <c r="G40" s="490"/>
      <c r="H40" s="484"/>
      <c r="I40" s="151"/>
      <c r="J40" s="152"/>
      <c r="K40" s="122"/>
    </row>
    <row r="41" spans="2:11" x14ac:dyDescent="0.3">
      <c r="B41" s="491"/>
      <c r="C41" s="411" t="s">
        <v>72</v>
      </c>
      <c r="D41" s="493"/>
      <c r="E41" s="493"/>
      <c r="F41" s="494"/>
      <c r="G41" s="490"/>
      <c r="H41" s="484"/>
      <c r="I41" s="151"/>
      <c r="J41" s="152"/>
      <c r="K41" s="122"/>
    </row>
    <row r="42" spans="2:11" x14ac:dyDescent="0.3">
      <c r="B42" s="491"/>
      <c r="C42" s="411" t="s">
        <v>73</v>
      </c>
      <c r="D42" s="493"/>
      <c r="E42" s="493"/>
      <c r="F42" s="494"/>
      <c r="G42" s="490"/>
      <c r="H42" s="484"/>
      <c r="I42" s="151"/>
      <c r="J42" s="152"/>
      <c r="K42" s="122"/>
    </row>
    <row r="43" spans="2:11" x14ac:dyDescent="0.3">
      <c r="B43" s="491"/>
      <c r="C43" s="411" t="s">
        <v>74</v>
      </c>
      <c r="D43" s="493"/>
      <c r="E43" s="493"/>
      <c r="F43" s="494"/>
      <c r="G43" s="490"/>
      <c r="H43" s="484"/>
      <c r="I43" s="151"/>
      <c r="J43" s="152"/>
      <c r="K43" s="122"/>
    </row>
    <row r="44" spans="2:11" x14ac:dyDescent="0.3">
      <c r="B44" s="491"/>
      <c r="C44" s="411" t="s">
        <v>75</v>
      </c>
      <c r="D44" s="493"/>
      <c r="E44" s="493"/>
      <c r="F44" s="494"/>
      <c r="G44" s="490"/>
      <c r="H44" s="484"/>
      <c r="I44" s="151"/>
      <c r="J44" s="152"/>
      <c r="K44" s="122"/>
    </row>
    <row r="45" spans="2:11" ht="17.25" thickBot="1" x14ac:dyDescent="0.35">
      <c r="B45" s="491"/>
      <c r="C45" s="412" t="s">
        <v>76</v>
      </c>
      <c r="D45" s="496"/>
      <c r="E45" s="496"/>
      <c r="F45" s="503"/>
      <c r="G45" s="490"/>
      <c r="H45" s="484"/>
      <c r="I45" s="151"/>
      <c r="J45" s="152"/>
      <c r="K45" s="122"/>
    </row>
    <row r="46" spans="2:11" ht="17.25" thickBot="1" x14ac:dyDescent="0.35">
      <c r="B46" s="491"/>
      <c r="C46" s="442"/>
      <c r="D46" s="442"/>
      <c r="E46" s="442"/>
      <c r="F46" s="442"/>
      <c r="G46" s="500"/>
      <c r="H46" s="484"/>
      <c r="I46" s="151"/>
      <c r="J46" s="152"/>
      <c r="K46" s="122"/>
    </row>
    <row r="47" spans="2:11" ht="18" thickBot="1" x14ac:dyDescent="0.4">
      <c r="B47" s="491"/>
      <c r="C47" s="982" t="s">
        <v>77</v>
      </c>
      <c r="D47" s="983"/>
      <c r="E47" s="983"/>
      <c r="F47" s="984"/>
      <c r="G47" s="490"/>
      <c r="H47" s="484"/>
      <c r="I47" s="151"/>
      <c r="J47" s="152"/>
      <c r="K47" s="122"/>
    </row>
    <row r="48" spans="2:11" ht="15" customHeight="1" x14ac:dyDescent="0.35">
      <c r="B48" s="491"/>
      <c r="C48" s="492"/>
      <c r="D48" s="957" t="s">
        <v>48</v>
      </c>
      <c r="E48" s="955"/>
      <c r="F48" s="956"/>
      <c r="G48" s="490"/>
      <c r="H48" s="484"/>
      <c r="I48" s="151"/>
      <c r="J48" s="152"/>
      <c r="K48" s="122"/>
    </row>
    <row r="49" spans="2:11" ht="17.25" x14ac:dyDescent="0.35">
      <c r="B49" s="489"/>
      <c r="C49" s="491"/>
      <c r="D49" s="409" t="s">
        <v>56</v>
      </c>
      <c r="E49" s="409" t="s">
        <v>57</v>
      </c>
      <c r="F49" s="410" t="s">
        <v>58</v>
      </c>
      <c r="G49" s="490"/>
      <c r="H49" s="484"/>
      <c r="I49" s="151"/>
      <c r="J49" s="152"/>
      <c r="K49" s="122"/>
    </row>
    <row r="50" spans="2:11" x14ac:dyDescent="0.3">
      <c r="B50" s="491"/>
      <c r="C50" s="411" t="s">
        <v>306</v>
      </c>
      <c r="D50" s="493"/>
      <c r="E50" s="493"/>
      <c r="F50" s="494"/>
      <c r="G50" s="490"/>
      <c r="H50" s="484"/>
      <c r="I50" s="151"/>
      <c r="J50" s="152"/>
      <c r="K50" s="122"/>
    </row>
    <row r="51" spans="2:11" x14ac:dyDescent="0.3">
      <c r="B51" s="491"/>
      <c r="C51" s="411" t="s">
        <v>307</v>
      </c>
      <c r="D51" s="493"/>
      <c r="E51" s="493"/>
      <c r="F51" s="494"/>
      <c r="G51" s="490"/>
      <c r="H51" s="484"/>
      <c r="I51" s="151"/>
      <c r="J51" s="152"/>
      <c r="K51" s="122"/>
    </row>
    <row r="52" spans="2:11" x14ac:dyDescent="0.3">
      <c r="B52" s="491"/>
      <c r="C52" s="411" t="s">
        <v>80</v>
      </c>
      <c r="D52" s="493"/>
      <c r="E52" s="493"/>
      <c r="F52" s="494"/>
      <c r="G52" s="490"/>
      <c r="H52" s="484"/>
      <c r="I52" s="151"/>
      <c r="J52" s="152"/>
      <c r="K52" s="122"/>
    </row>
    <row r="53" spans="2:11" x14ac:dyDescent="0.3">
      <c r="B53" s="491"/>
      <c r="C53" s="411" t="s">
        <v>81</v>
      </c>
      <c r="D53" s="493"/>
      <c r="E53" s="493"/>
      <c r="F53" s="494"/>
      <c r="G53" s="490"/>
      <c r="H53" s="484"/>
      <c r="I53" s="151"/>
      <c r="J53" s="152"/>
      <c r="K53" s="122"/>
    </row>
    <row r="54" spans="2:11" ht="17.25" thickBot="1" x14ac:dyDescent="0.35">
      <c r="B54" s="491"/>
      <c r="C54" s="412" t="s">
        <v>438</v>
      </c>
      <c r="D54" s="496"/>
      <c r="E54" s="496"/>
      <c r="F54" s="503"/>
      <c r="G54" s="490"/>
      <c r="H54" s="484"/>
      <c r="I54" s="151"/>
      <c r="J54" s="152"/>
      <c r="K54" s="122"/>
    </row>
    <row r="55" spans="2:11" ht="17.25" thickBot="1" x14ac:dyDescent="0.35">
      <c r="B55" s="491"/>
      <c r="C55" s="442"/>
      <c r="D55" s="442"/>
      <c r="E55" s="442"/>
      <c r="F55" s="442"/>
      <c r="G55" s="500"/>
      <c r="H55" s="484"/>
      <c r="I55" s="151"/>
      <c r="J55" s="152"/>
      <c r="K55" s="122"/>
    </row>
    <row r="56" spans="2:11" ht="18" thickBot="1" x14ac:dyDescent="0.4">
      <c r="B56" s="491"/>
      <c r="C56" s="982" t="s">
        <v>82</v>
      </c>
      <c r="D56" s="983"/>
      <c r="E56" s="983"/>
      <c r="F56" s="984"/>
      <c r="G56" s="490"/>
      <c r="H56" s="484"/>
      <c r="I56" s="151"/>
      <c r="J56" s="152"/>
      <c r="K56" s="122"/>
    </row>
    <row r="57" spans="2:11" ht="15" customHeight="1" x14ac:dyDescent="0.35">
      <c r="B57" s="491"/>
      <c r="C57" s="492"/>
      <c r="D57" s="957" t="s">
        <v>48</v>
      </c>
      <c r="E57" s="955"/>
      <c r="F57" s="956"/>
      <c r="G57" s="490"/>
      <c r="H57" s="484"/>
      <c r="I57" s="151"/>
      <c r="J57" s="152"/>
      <c r="K57" s="122"/>
    </row>
    <row r="58" spans="2:11" ht="17.25" x14ac:dyDescent="0.35">
      <c r="B58" s="504"/>
      <c r="C58" s="491"/>
      <c r="D58" s="409" t="s">
        <v>56</v>
      </c>
      <c r="E58" s="409" t="s">
        <v>57</v>
      </c>
      <c r="F58" s="410" t="s">
        <v>58</v>
      </c>
      <c r="G58" s="490"/>
      <c r="H58" s="484"/>
      <c r="I58" s="151"/>
      <c r="J58" s="152"/>
      <c r="K58" s="122"/>
    </row>
    <row r="59" spans="2:11" x14ac:dyDescent="0.3">
      <c r="B59" s="491"/>
      <c r="C59" s="411" t="s">
        <v>83</v>
      </c>
      <c r="D59" s="493"/>
      <c r="E59" s="493"/>
      <c r="F59" s="494"/>
      <c r="G59" s="490"/>
      <c r="H59" s="484"/>
      <c r="I59" s="151"/>
      <c r="J59" s="152"/>
      <c r="K59" s="122"/>
    </row>
    <row r="60" spans="2:11" x14ac:dyDescent="0.3">
      <c r="B60" s="491"/>
      <c r="C60" s="411" t="s">
        <v>84</v>
      </c>
      <c r="D60" s="493"/>
      <c r="E60" s="493"/>
      <c r="F60" s="494"/>
      <c r="G60" s="490"/>
      <c r="H60" s="484"/>
      <c r="I60" s="151"/>
      <c r="J60" s="152"/>
      <c r="K60" s="122"/>
    </row>
    <row r="61" spans="2:11" x14ac:dyDescent="0.3">
      <c r="B61" s="491"/>
      <c r="C61" s="411" t="s">
        <v>85</v>
      </c>
      <c r="D61" s="493"/>
      <c r="E61" s="493"/>
      <c r="F61" s="494"/>
      <c r="G61" s="490"/>
      <c r="H61" s="484"/>
      <c r="I61" s="151"/>
      <c r="J61" s="152"/>
      <c r="K61" s="122"/>
    </row>
    <row r="62" spans="2:11" x14ac:dyDescent="0.3">
      <c r="B62" s="491"/>
      <c r="C62" s="411" t="s">
        <v>86</v>
      </c>
      <c r="D62" s="493"/>
      <c r="E62" s="493"/>
      <c r="F62" s="494"/>
      <c r="G62" s="490"/>
      <c r="H62" s="484"/>
      <c r="I62" s="151"/>
      <c r="J62" s="152"/>
      <c r="K62" s="122"/>
    </row>
    <row r="63" spans="2:11" x14ac:dyDescent="0.3">
      <c r="B63" s="491"/>
      <c r="C63" s="411" t="s">
        <v>87</v>
      </c>
      <c r="D63" s="493"/>
      <c r="E63" s="493"/>
      <c r="F63" s="494"/>
      <c r="G63" s="490"/>
      <c r="H63" s="484"/>
      <c r="I63" s="151"/>
      <c r="J63" s="152"/>
      <c r="K63" s="122"/>
    </row>
    <row r="64" spans="2:11" x14ac:dyDescent="0.3">
      <c r="B64" s="491"/>
      <c r="C64" s="411" t="s">
        <v>88</v>
      </c>
      <c r="D64" s="493"/>
      <c r="E64" s="493"/>
      <c r="F64" s="494"/>
      <c r="G64" s="490"/>
      <c r="H64" s="484"/>
      <c r="I64" s="151"/>
      <c r="J64" s="152"/>
      <c r="K64" s="122"/>
    </row>
    <row r="65" spans="2:11" x14ac:dyDescent="0.3">
      <c r="B65" s="491"/>
      <c r="C65" s="411" t="s">
        <v>89</v>
      </c>
      <c r="D65" s="493"/>
      <c r="E65" s="493"/>
      <c r="F65" s="494"/>
      <c r="G65" s="490"/>
      <c r="H65" s="484"/>
      <c r="I65" s="151"/>
      <c r="J65" s="152"/>
      <c r="K65" s="122"/>
    </row>
    <row r="66" spans="2:11" ht="17.25" thickBot="1" x14ac:dyDescent="0.35">
      <c r="B66" s="491"/>
      <c r="C66" s="412" t="s">
        <v>90</v>
      </c>
      <c r="D66" s="496"/>
      <c r="E66" s="496"/>
      <c r="F66" s="503"/>
      <c r="G66" s="490"/>
      <c r="H66" s="484"/>
      <c r="I66" s="151"/>
      <c r="J66" s="152"/>
      <c r="K66" s="122"/>
    </row>
    <row r="67" spans="2:11" ht="17.25" thickBot="1" x14ac:dyDescent="0.35">
      <c r="B67" s="491"/>
      <c r="C67" s="442"/>
      <c r="D67" s="442"/>
      <c r="E67" s="442"/>
      <c r="F67" s="442"/>
      <c r="G67" s="500"/>
      <c r="H67" s="484"/>
      <c r="I67" s="151"/>
      <c r="J67" s="152"/>
      <c r="K67" s="122"/>
    </row>
    <row r="68" spans="2:11" ht="18" thickBot="1" x14ac:dyDescent="0.4">
      <c r="B68" s="491"/>
      <c r="C68" s="982" t="s">
        <v>91</v>
      </c>
      <c r="D68" s="983"/>
      <c r="E68" s="983"/>
      <c r="F68" s="984"/>
      <c r="G68" s="490"/>
      <c r="H68" s="484"/>
      <c r="I68" s="151"/>
      <c r="J68" s="152"/>
      <c r="K68" s="122"/>
    </row>
    <row r="69" spans="2:11" ht="17.25" x14ac:dyDescent="0.35">
      <c r="B69" s="489"/>
      <c r="C69" s="492"/>
      <c r="D69" s="957" t="s">
        <v>48</v>
      </c>
      <c r="E69" s="955"/>
      <c r="F69" s="956"/>
      <c r="G69" s="500"/>
      <c r="H69" s="484"/>
      <c r="I69" s="151"/>
      <c r="J69" s="152"/>
      <c r="K69" s="122"/>
    </row>
    <row r="70" spans="2:11" x14ac:dyDescent="0.3">
      <c r="B70" s="491"/>
      <c r="C70" s="411" t="s">
        <v>92</v>
      </c>
      <c r="D70" s="978"/>
      <c r="E70" s="978"/>
      <c r="F70" s="979"/>
      <c r="G70" s="500"/>
      <c r="H70" s="484"/>
      <c r="I70" s="151"/>
      <c r="J70" s="152"/>
      <c r="K70" s="122"/>
    </row>
    <row r="71" spans="2:11" x14ac:dyDescent="0.3">
      <c r="B71" s="491"/>
      <c r="C71" s="411" t="s">
        <v>93</v>
      </c>
      <c r="D71" s="978"/>
      <c r="E71" s="978"/>
      <c r="F71" s="979"/>
      <c r="G71" s="500"/>
      <c r="H71" s="484"/>
      <c r="I71" s="151"/>
      <c r="J71" s="152"/>
      <c r="K71" s="122"/>
    </row>
    <row r="72" spans="2:11" x14ac:dyDescent="0.3">
      <c r="B72" s="491"/>
      <c r="C72" s="411" t="s">
        <v>308</v>
      </c>
      <c r="D72" s="978"/>
      <c r="E72" s="978"/>
      <c r="F72" s="979"/>
      <c r="G72" s="500"/>
      <c r="H72" s="484"/>
      <c r="I72" s="151"/>
      <c r="J72" s="152"/>
      <c r="K72" s="122"/>
    </row>
    <row r="73" spans="2:11" x14ac:dyDescent="0.3">
      <c r="B73" s="491"/>
      <c r="C73" s="411" t="s">
        <v>94</v>
      </c>
      <c r="D73" s="980" t="str">
        <f>IF(D70+D72=0,"",D70+D72)</f>
        <v/>
      </c>
      <c r="E73" s="980"/>
      <c r="F73" s="981"/>
      <c r="G73" s="500"/>
      <c r="H73" s="484"/>
      <c r="I73" s="153"/>
      <c r="J73" s="154"/>
      <c r="K73" s="122"/>
    </row>
    <row r="74" spans="2:11" x14ac:dyDescent="0.3">
      <c r="B74" s="491"/>
      <c r="C74" s="411" t="s">
        <v>95</v>
      </c>
      <c r="D74" s="978"/>
      <c r="E74" s="978"/>
      <c r="F74" s="979"/>
      <c r="G74" s="500"/>
      <c r="H74" s="484"/>
      <c r="I74" s="153"/>
      <c r="J74" s="154"/>
      <c r="K74" s="122"/>
    </row>
    <row r="75" spans="2:11" x14ac:dyDescent="0.3">
      <c r="B75" s="491"/>
      <c r="C75" s="411" t="s">
        <v>96</v>
      </c>
      <c r="D75" s="978"/>
      <c r="E75" s="978"/>
      <c r="F75" s="979"/>
      <c r="G75" s="500"/>
      <c r="H75" s="484"/>
      <c r="I75" s="153"/>
      <c r="J75" s="154"/>
      <c r="K75" s="122"/>
    </row>
    <row r="76" spans="2:11" x14ac:dyDescent="0.3">
      <c r="B76" s="491"/>
      <c r="C76" s="411" t="s">
        <v>97</v>
      </c>
      <c r="D76" s="978"/>
      <c r="E76" s="978"/>
      <c r="F76" s="979"/>
      <c r="G76" s="500"/>
      <c r="H76" s="484"/>
      <c r="I76" s="153"/>
      <c r="J76" s="154"/>
      <c r="K76" s="122"/>
    </row>
    <row r="77" spans="2:11" x14ac:dyDescent="0.3">
      <c r="B77" s="491"/>
      <c r="C77" s="411" t="s">
        <v>308</v>
      </c>
      <c r="D77" s="978"/>
      <c r="E77" s="978"/>
      <c r="F77" s="979"/>
      <c r="G77" s="500"/>
      <c r="H77" s="484"/>
      <c r="I77" s="153"/>
      <c r="J77" s="154"/>
      <c r="K77" s="122"/>
    </row>
    <row r="78" spans="2:11" ht="17.25" thickBot="1" x14ac:dyDescent="0.35">
      <c r="B78" s="491"/>
      <c r="C78" s="412" t="s">
        <v>94</v>
      </c>
      <c r="D78" s="976" t="str">
        <f>IF(D75+D77=0,"",D75+D77)</f>
        <v/>
      </c>
      <c r="E78" s="976"/>
      <c r="F78" s="977"/>
      <c r="G78" s="500"/>
      <c r="H78" s="484"/>
      <c r="I78" s="155"/>
      <c r="J78" s="152"/>
      <c r="K78" s="122"/>
    </row>
    <row r="79" spans="2:11" ht="17.25" thickBot="1" x14ac:dyDescent="0.35">
      <c r="B79" s="505"/>
      <c r="C79" s="497"/>
      <c r="D79" s="497"/>
      <c r="E79" s="497"/>
      <c r="F79" s="497"/>
      <c r="G79" s="506"/>
      <c r="H79" s="484"/>
      <c r="I79" s="155"/>
      <c r="J79" s="152"/>
      <c r="K79" s="122"/>
    </row>
    <row r="80" spans="2:11" x14ac:dyDescent="0.3">
      <c r="K80" s="122"/>
    </row>
    <row r="81" spans="1:11" s="156" customFormat="1" x14ac:dyDescent="0.3">
      <c r="A81" s="122"/>
      <c r="B81" s="122"/>
      <c r="C81" s="122"/>
      <c r="D81" s="122"/>
      <c r="E81" s="122"/>
      <c r="F81" s="122"/>
      <c r="G81" s="122"/>
      <c r="H81" s="122"/>
      <c r="I81" s="122"/>
      <c r="J81" s="122"/>
      <c r="K81" s="122"/>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5">
    <mergeCell ref="D33:F33"/>
    <mergeCell ref="H4:I4"/>
    <mergeCell ref="B2:C2"/>
    <mergeCell ref="C13:F13"/>
    <mergeCell ref="C23:F23"/>
    <mergeCell ref="C32:F32"/>
    <mergeCell ref="E2:F2"/>
    <mergeCell ref="D14:F14"/>
    <mergeCell ref="D24:F24"/>
    <mergeCell ref="D78:F78"/>
    <mergeCell ref="B11:G11"/>
    <mergeCell ref="D70:F70"/>
    <mergeCell ref="D48:F48"/>
    <mergeCell ref="D71:F71"/>
    <mergeCell ref="D76:F76"/>
    <mergeCell ref="D77:F77"/>
    <mergeCell ref="D72:F72"/>
    <mergeCell ref="D73:F73"/>
    <mergeCell ref="D57:F57"/>
    <mergeCell ref="D69:F69"/>
    <mergeCell ref="C47:F47"/>
    <mergeCell ref="C56:F56"/>
    <mergeCell ref="C68:F68"/>
    <mergeCell ref="D74:F74"/>
    <mergeCell ref="D75:F75"/>
  </mergeCells>
  <phoneticPr fontId="26" type="noConversion"/>
  <conditionalFormatting sqref="D70:D78 D26:F30 D35:F45 D50:F54 D59:F66 D20:D21 D16:F19">
    <cfRule type="expression" dxfId="54" priority="3" stopIfTrue="1">
      <formula>OR($I$5 = "Central Air Conditioner", $I$6 = "Single-Speed")</formula>
    </cfRule>
  </conditionalFormatting>
  <hyperlinks>
    <hyperlink ref="E2" location="Instructions!A1" display="Back to Instructions" xr:uid="{00000000-0004-0000-0E00-000000000000}"/>
    <hyperlink ref="E2:F2" location="Instructions!A1" display="Back to Instructions tab" xr:uid="{00000000-0004-0000-0E00-000001000000}"/>
  </hyperlinks>
  <pageMargins left="0.7" right="0.7" top="0.75" bottom="0.75" header="0.3" footer="0.3"/>
  <pageSetup orientation="portrait" horizontalDpi="200" verticalDpi="2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0070C0"/>
  </sheetPr>
  <dimension ref="A1:K221"/>
  <sheetViews>
    <sheetView showGridLines="0" showZeros="0" zoomScale="80" zoomScaleNormal="80" workbookViewId="0">
      <selection activeCell="E2" sqref="E2:F2"/>
    </sheetView>
  </sheetViews>
  <sheetFormatPr defaultColWidth="9.140625" defaultRowHeight="16.5" x14ac:dyDescent="0.3"/>
  <cols>
    <col min="1" max="1" width="4.85546875" style="5" customWidth="1"/>
    <col min="2" max="2" width="31.42578125" style="5" customWidth="1"/>
    <col min="3" max="3" width="68.7109375" style="5" customWidth="1"/>
    <col min="4" max="6" width="15.42578125" style="5" customWidth="1"/>
    <col min="7" max="7" width="6.85546875" style="5" customWidth="1"/>
    <col min="8" max="8" width="28.5703125" style="5" customWidth="1"/>
    <col min="9" max="9" width="18.42578125" style="5" customWidth="1"/>
    <col min="10" max="10" width="6.7109375" style="110" customWidth="1"/>
    <col min="11" max="11" width="5.140625" style="5" customWidth="1"/>
    <col min="12" max="16384" width="9.140625" style="5"/>
  </cols>
  <sheetData>
    <row r="1" spans="1:11" ht="17.25" thickBot="1" x14ac:dyDescent="0.35">
      <c r="A1" s="7"/>
      <c r="J1" s="123"/>
      <c r="K1" s="17"/>
    </row>
    <row r="2" spans="1:11" s="1" customFormat="1" ht="18" thickBot="1" x14ac:dyDescent="0.35">
      <c r="B2" s="805" t="s">
        <v>622</v>
      </c>
      <c r="C2" s="806"/>
      <c r="E2" s="840" t="s">
        <v>553</v>
      </c>
      <c r="F2" s="840"/>
      <c r="J2" s="124"/>
      <c r="K2" s="125"/>
    </row>
    <row r="3" spans="1:11" s="1" customFormat="1" ht="17.25" thickBot="1" x14ac:dyDescent="0.35">
      <c r="B3" s="365" t="s">
        <v>623</v>
      </c>
      <c r="C3" s="366" t="str">
        <f>'Version Control'!C3</f>
        <v>Commercial Air Conditioner and Heat Pump</v>
      </c>
      <c r="J3" s="124"/>
      <c r="K3" s="125"/>
    </row>
    <row r="4" spans="1:11" s="1" customFormat="1" ht="18" thickBot="1" x14ac:dyDescent="0.35">
      <c r="B4" s="367" t="s">
        <v>142</v>
      </c>
      <c r="C4" s="368" t="str">
        <f>'Version Control'!C4</f>
        <v>v2.2</v>
      </c>
      <c r="H4" s="802" t="s">
        <v>351</v>
      </c>
      <c r="I4" s="804"/>
      <c r="J4" s="124"/>
      <c r="K4" s="125"/>
    </row>
    <row r="5" spans="1:11" s="1" customFormat="1" x14ac:dyDescent="0.3">
      <c r="B5" s="367" t="s">
        <v>475</v>
      </c>
      <c r="C5" s="369">
        <f>'Version Control'!C5</f>
        <v>43353</v>
      </c>
      <c r="H5" s="51" t="s">
        <v>160</v>
      </c>
      <c r="I5" s="337">
        <f>'General Info and Test Results'!C24</f>
        <v>0</v>
      </c>
      <c r="J5" s="124"/>
      <c r="K5" s="125"/>
    </row>
    <row r="6" spans="1:11" s="1" customFormat="1" x14ac:dyDescent="0.3">
      <c r="B6" s="370" t="s">
        <v>141</v>
      </c>
      <c r="C6" s="371" t="str">
        <f ca="1">MID(CELL("filename",$A$1), FIND("]", CELL("filename", $A$1))+ 1, 255)</f>
        <v>H1 Test Recorded Data</v>
      </c>
      <c r="H6" s="52" t="s">
        <v>155</v>
      </c>
      <c r="I6" s="338">
        <f>'General Info and Test Results'!C25</f>
        <v>0</v>
      </c>
      <c r="J6" s="124"/>
      <c r="K6" s="125"/>
    </row>
    <row r="7" spans="1: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1:11" s="1" customFormat="1" ht="17.25" thickBot="1" x14ac:dyDescent="0.35">
      <c r="B8" s="372" t="s">
        <v>143</v>
      </c>
      <c r="C8" s="373" t="str">
        <f>'Version Control'!C8</f>
        <v>[MM/DD/YYYY]</v>
      </c>
      <c r="G8" s="12"/>
      <c r="H8" s="8"/>
      <c r="J8" s="124"/>
      <c r="K8" s="125"/>
    </row>
    <row r="9" spans="1:11" s="1" customFormat="1" x14ac:dyDescent="0.3">
      <c r="B9" s="4"/>
      <c r="C9" s="232"/>
      <c r="G9" s="12"/>
      <c r="H9" s="8"/>
      <c r="J9" s="124"/>
      <c r="K9" s="125"/>
    </row>
    <row r="10" spans="1:11" s="1" customFormat="1" ht="17.25" thickBot="1" x14ac:dyDescent="0.35">
      <c r="B10" s="112"/>
      <c r="C10" s="451"/>
      <c r="D10" s="451"/>
      <c r="E10" s="451"/>
      <c r="F10" s="451"/>
      <c r="G10" s="483"/>
      <c r="H10" s="5"/>
      <c r="J10" s="124"/>
      <c r="K10" s="125"/>
    </row>
    <row r="11" spans="1:11" s="6" customFormat="1" ht="18.75" thickBot="1" x14ac:dyDescent="0.4">
      <c r="B11" s="939" t="s">
        <v>426</v>
      </c>
      <c r="C11" s="940"/>
      <c r="D11" s="940"/>
      <c r="E11" s="940"/>
      <c r="F11" s="940"/>
      <c r="G11" s="941"/>
      <c r="J11" s="111"/>
      <c r="K11" s="18"/>
    </row>
    <row r="12" spans="1:11" ht="18" thickBot="1" x14ac:dyDescent="0.4">
      <c r="B12" s="383"/>
      <c r="C12" s="421"/>
      <c r="D12" s="421"/>
      <c r="E12" s="421"/>
      <c r="F12" s="421"/>
      <c r="G12" s="422"/>
      <c r="K12" s="17"/>
    </row>
    <row r="13" spans="1:11" ht="18" thickBot="1" x14ac:dyDescent="0.4">
      <c r="B13" s="400"/>
      <c r="C13" s="913" t="s">
        <v>55</v>
      </c>
      <c r="D13" s="914"/>
      <c r="E13" s="914"/>
      <c r="F13" s="915"/>
      <c r="G13" s="423"/>
      <c r="K13" s="17"/>
    </row>
    <row r="14" spans="1:11" ht="17.25" x14ac:dyDescent="0.35">
      <c r="B14" s="395"/>
      <c r="C14" s="398"/>
      <c r="D14" s="957" t="s">
        <v>48</v>
      </c>
      <c r="E14" s="955"/>
      <c r="F14" s="956"/>
      <c r="G14" s="423"/>
      <c r="I14" s="127"/>
      <c r="J14" s="136"/>
      <c r="K14" s="17"/>
    </row>
    <row r="15" spans="1:11" ht="17.25" x14ac:dyDescent="0.35">
      <c r="B15" s="400"/>
      <c r="C15" s="395"/>
      <c r="D15" s="409" t="s">
        <v>56</v>
      </c>
      <c r="E15" s="409" t="s">
        <v>57</v>
      </c>
      <c r="F15" s="410" t="s">
        <v>58</v>
      </c>
      <c r="G15" s="423"/>
      <c r="I15" s="127"/>
      <c r="J15" s="136"/>
      <c r="K15" s="17"/>
    </row>
    <row r="16" spans="1:11" x14ac:dyDescent="0.3">
      <c r="B16" s="395"/>
      <c r="C16" s="386" t="s">
        <v>442</v>
      </c>
      <c r="D16" s="430"/>
      <c r="E16" s="430"/>
      <c r="F16" s="431"/>
      <c r="G16" s="423"/>
      <c r="I16" s="128"/>
      <c r="J16" s="137"/>
      <c r="K16" s="17"/>
    </row>
    <row r="17" spans="2:11" x14ac:dyDescent="0.3">
      <c r="B17" s="395"/>
      <c r="C17" s="386" t="s">
        <v>443</v>
      </c>
      <c r="D17" s="430"/>
      <c r="E17" s="430"/>
      <c r="F17" s="431"/>
      <c r="G17" s="423"/>
      <c r="I17" s="128"/>
      <c r="J17" s="137"/>
      <c r="K17" s="17"/>
    </row>
    <row r="18" spans="2:11" x14ac:dyDescent="0.3">
      <c r="B18" s="395"/>
      <c r="C18" s="414" t="s">
        <v>59</v>
      </c>
      <c r="D18" s="430"/>
      <c r="E18" s="430"/>
      <c r="F18" s="431"/>
      <c r="G18" s="423"/>
      <c r="I18" s="128"/>
      <c r="J18" s="137"/>
      <c r="K18" s="17"/>
    </row>
    <row r="19" spans="2:11" x14ac:dyDescent="0.3">
      <c r="B19" s="395"/>
      <c r="C19" s="414" t="s">
        <v>60</v>
      </c>
      <c r="D19" s="430"/>
      <c r="E19" s="430"/>
      <c r="F19" s="431"/>
      <c r="G19" s="423"/>
      <c r="I19" s="128"/>
      <c r="J19" s="137"/>
      <c r="K19" s="17"/>
    </row>
    <row r="20" spans="2:11" x14ac:dyDescent="0.3">
      <c r="B20" s="395"/>
      <c r="C20" s="386" t="s">
        <v>445</v>
      </c>
      <c r="D20" s="430"/>
      <c r="E20" s="388"/>
      <c r="F20" s="399"/>
      <c r="G20" s="423"/>
      <c r="I20" s="128"/>
      <c r="J20" s="137"/>
      <c r="K20" s="17"/>
    </row>
    <row r="21" spans="2:11" ht="17.25" thickBot="1" x14ac:dyDescent="0.35">
      <c r="B21" s="395"/>
      <c r="C21" s="391" t="s">
        <v>453</v>
      </c>
      <c r="D21" s="427"/>
      <c r="E21" s="405"/>
      <c r="F21" s="406"/>
      <c r="G21" s="423"/>
      <c r="I21" s="128"/>
      <c r="J21" s="137"/>
      <c r="K21" s="17"/>
    </row>
    <row r="22" spans="2:11" ht="17.25" thickBot="1" x14ac:dyDescent="0.35">
      <c r="B22" s="395"/>
      <c r="C22" s="407"/>
      <c r="D22" s="388"/>
      <c r="E22" s="388"/>
      <c r="F22" s="388"/>
      <c r="G22" s="428"/>
      <c r="I22" s="128"/>
      <c r="J22" s="137"/>
      <c r="K22" s="17"/>
    </row>
    <row r="23" spans="2:11" ht="18" thickBot="1" x14ac:dyDescent="0.4">
      <c r="B23" s="395"/>
      <c r="C23" s="913" t="s">
        <v>61</v>
      </c>
      <c r="D23" s="914"/>
      <c r="E23" s="914"/>
      <c r="F23" s="915"/>
      <c r="G23" s="423"/>
      <c r="I23" s="128"/>
      <c r="J23" s="137"/>
      <c r="K23" s="17"/>
    </row>
    <row r="24" spans="2:11" ht="17.25" x14ac:dyDescent="0.35">
      <c r="B24" s="395"/>
      <c r="C24" s="429"/>
      <c r="D24" s="957" t="s">
        <v>48</v>
      </c>
      <c r="E24" s="955"/>
      <c r="F24" s="956"/>
      <c r="G24" s="423"/>
      <c r="I24" s="128"/>
      <c r="J24" s="137"/>
      <c r="K24" s="17"/>
    </row>
    <row r="25" spans="2:11" ht="17.25" x14ac:dyDescent="0.35">
      <c r="B25" s="400"/>
      <c r="C25" s="408"/>
      <c r="D25" s="409" t="s">
        <v>56</v>
      </c>
      <c r="E25" s="409" t="s">
        <v>57</v>
      </c>
      <c r="F25" s="410" t="s">
        <v>58</v>
      </c>
      <c r="G25" s="423"/>
      <c r="I25" s="128"/>
      <c r="J25" s="137"/>
      <c r="K25" s="17"/>
    </row>
    <row r="26" spans="2:11" x14ac:dyDescent="0.3">
      <c r="B26" s="395"/>
      <c r="C26" s="414" t="s">
        <v>62</v>
      </c>
      <c r="D26" s="430"/>
      <c r="E26" s="430"/>
      <c r="F26" s="431"/>
      <c r="G26" s="423"/>
      <c r="I26" s="128"/>
      <c r="J26" s="137"/>
      <c r="K26" s="17"/>
    </row>
    <row r="27" spans="2:11" x14ac:dyDescent="0.3">
      <c r="B27" s="395"/>
      <c r="C27" s="414" t="s">
        <v>63</v>
      </c>
      <c r="D27" s="430"/>
      <c r="E27" s="430"/>
      <c r="F27" s="431"/>
      <c r="G27" s="423"/>
      <c r="I27" s="128"/>
      <c r="J27" s="137"/>
      <c r="K27" s="17"/>
    </row>
    <row r="28" spans="2:11" x14ac:dyDescent="0.3">
      <c r="B28" s="395"/>
      <c r="C28" s="414" t="s">
        <v>64</v>
      </c>
      <c r="D28" s="430"/>
      <c r="E28" s="430"/>
      <c r="F28" s="431"/>
      <c r="G28" s="423"/>
      <c r="I28" s="128"/>
      <c r="J28" s="137"/>
      <c r="K28" s="17"/>
    </row>
    <row r="29" spans="2:11" x14ac:dyDescent="0.3">
      <c r="B29" s="395"/>
      <c r="C29" s="414" t="s">
        <v>422</v>
      </c>
      <c r="D29" s="430"/>
      <c r="E29" s="430"/>
      <c r="F29" s="431"/>
      <c r="G29" s="423"/>
      <c r="I29" s="128"/>
      <c r="J29" s="137"/>
      <c r="K29" s="17"/>
    </row>
    <row r="30" spans="2:11" ht="17.25" thickBot="1" x14ac:dyDescent="0.35">
      <c r="B30" s="395"/>
      <c r="C30" s="391" t="s">
        <v>437</v>
      </c>
      <c r="D30" s="427"/>
      <c r="E30" s="427"/>
      <c r="F30" s="432"/>
      <c r="G30" s="423"/>
      <c r="I30" s="128"/>
      <c r="J30" s="137"/>
      <c r="K30" s="17"/>
    </row>
    <row r="31" spans="2:11" ht="17.25" thickBot="1" x14ac:dyDescent="0.35">
      <c r="B31" s="395"/>
      <c r="C31" s="388"/>
      <c r="D31" s="388"/>
      <c r="E31" s="388"/>
      <c r="F31" s="388"/>
      <c r="G31" s="428"/>
      <c r="I31" s="128"/>
      <c r="J31" s="137"/>
      <c r="K31" s="17"/>
    </row>
    <row r="32" spans="2:11" ht="18" thickBot="1" x14ac:dyDescent="0.4">
      <c r="B32" s="395"/>
      <c r="C32" s="913" t="s">
        <v>65</v>
      </c>
      <c r="D32" s="914"/>
      <c r="E32" s="914"/>
      <c r="F32" s="915"/>
      <c r="G32" s="423"/>
      <c r="I32" s="128"/>
      <c r="J32" s="137"/>
      <c r="K32" s="17"/>
    </row>
    <row r="33" spans="2:11" ht="17.25" x14ac:dyDescent="0.35">
      <c r="B33" s="395"/>
      <c r="C33" s="398"/>
      <c r="D33" s="957" t="s">
        <v>48</v>
      </c>
      <c r="E33" s="955"/>
      <c r="F33" s="956"/>
      <c r="G33" s="423"/>
      <c r="I33" s="128"/>
      <c r="J33" s="137"/>
      <c r="K33" s="17"/>
    </row>
    <row r="34" spans="2:11" ht="17.25" x14ac:dyDescent="0.35">
      <c r="B34" s="400"/>
      <c r="C34" s="395"/>
      <c r="D34" s="409" t="s">
        <v>56</v>
      </c>
      <c r="E34" s="409" t="s">
        <v>57</v>
      </c>
      <c r="F34" s="410" t="s">
        <v>58</v>
      </c>
      <c r="G34" s="423"/>
      <c r="I34" s="128"/>
      <c r="J34" s="137"/>
      <c r="K34" s="17"/>
    </row>
    <row r="35" spans="2:11" x14ac:dyDescent="0.3">
      <c r="B35" s="395"/>
      <c r="C35" s="414" t="s">
        <v>66</v>
      </c>
      <c r="D35" s="430"/>
      <c r="E35" s="430"/>
      <c r="F35" s="431"/>
      <c r="G35" s="423"/>
      <c r="I35" s="128"/>
      <c r="J35" s="137"/>
      <c r="K35" s="17"/>
    </row>
    <row r="36" spans="2:11" x14ac:dyDescent="0.3">
      <c r="B36" s="395"/>
      <c r="C36" s="414" t="s">
        <v>67</v>
      </c>
      <c r="D36" s="430"/>
      <c r="E36" s="430"/>
      <c r="F36" s="431"/>
      <c r="G36" s="423"/>
      <c r="I36" s="128"/>
      <c r="J36" s="137"/>
      <c r="K36" s="17"/>
    </row>
    <row r="37" spans="2:11" x14ac:dyDescent="0.3">
      <c r="B37" s="395"/>
      <c r="C37" s="414" t="s">
        <v>68</v>
      </c>
      <c r="D37" s="430"/>
      <c r="E37" s="430"/>
      <c r="F37" s="431"/>
      <c r="G37" s="423"/>
      <c r="I37" s="128"/>
      <c r="J37" s="137"/>
      <c r="K37" s="17"/>
    </row>
    <row r="38" spans="2:11" x14ac:dyDescent="0.3">
      <c r="B38" s="395"/>
      <c r="C38" s="414" t="s">
        <v>69</v>
      </c>
      <c r="D38" s="430"/>
      <c r="E38" s="430"/>
      <c r="F38" s="431"/>
      <c r="G38" s="423"/>
      <c r="I38" s="128"/>
      <c r="J38" s="137"/>
      <c r="K38" s="17"/>
    </row>
    <row r="39" spans="2:11" x14ac:dyDescent="0.3">
      <c r="B39" s="395"/>
      <c r="C39" s="414" t="s">
        <v>70</v>
      </c>
      <c r="D39" s="430"/>
      <c r="E39" s="430"/>
      <c r="F39" s="431"/>
      <c r="G39" s="423"/>
      <c r="I39" s="128"/>
      <c r="J39" s="137"/>
      <c r="K39" s="17"/>
    </row>
    <row r="40" spans="2:11" x14ac:dyDescent="0.3">
      <c r="B40" s="395"/>
      <c r="C40" s="414" t="s">
        <v>71</v>
      </c>
      <c r="D40" s="430"/>
      <c r="E40" s="430"/>
      <c r="F40" s="431"/>
      <c r="G40" s="423"/>
      <c r="I40" s="128"/>
      <c r="J40" s="137"/>
      <c r="K40" s="17"/>
    </row>
    <row r="41" spans="2:11" x14ac:dyDescent="0.3">
      <c r="B41" s="395"/>
      <c r="C41" s="414" t="s">
        <v>72</v>
      </c>
      <c r="D41" s="430"/>
      <c r="E41" s="430"/>
      <c r="F41" s="431"/>
      <c r="G41" s="423"/>
      <c r="I41" s="128"/>
      <c r="J41" s="137"/>
      <c r="K41" s="17"/>
    </row>
    <row r="42" spans="2:11" x14ac:dyDescent="0.3">
      <c r="B42" s="395"/>
      <c r="C42" s="414" t="s">
        <v>73</v>
      </c>
      <c r="D42" s="430"/>
      <c r="E42" s="430"/>
      <c r="F42" s="431"/>
      <c r="G42" s="423"/>
      <c r="I42" s="128"/>
      <c r="J42" s="137"/>
      <c r="K42" s="17"/>
    </row>
    <row r="43" spans="2:11" x14ac:dyDescent="0.3">
      <c r="B43" s="395"/>
      <c r="C43" s="414" t="s">
        <v>74</v>
      </c>
      <c r="D43" s="430"/>
      <c r="E43" s="430"/>
      <c r="F43" s="431"/>
      <c r="G43" s="423"/>
      <c r="I43" s="128"/>
      <c r="J43" s="137"/>
      <c r="K43" s="17"/>
    </row>
    <row r="44" spans="2:11" x14ac:dyDescent="0.3">
      <c r="B44" s="395"/>
      <c r="C44" s="414" t="s">
        <v>75</v>
      </c>
      <c r="D44" s="430"/>
      <c r="E44" s="430"/>
      <c r="F44" s="431"/>
      <c r="G44" s="423"/>
      <c r="I44" s="128"/>
      <c r="J44" s="137"/>
      <c r="K44" s="17"/>
    </row>
    <row r="45" spans="2:11" ht="17.25" thickBot="1" x14ac:dyDescent="0.35">
      <c r="B45" s="395"/>
      <c r="C45" s="415" t="s">
        <v>76</v>
      </c>
      <c r="D45" s="427"/>
      <c r="E45" s="427"/>
      <c r="F45" s="432"/>
      <c r="G45" s="423"/>
      <c r="I45" s="128"/>
      <c r="J45" s="137"/>
      <c r="K45" s="17"/>
    </row>
    <row r="46" spans="2:11" ht="17.25" thickBot="1" x14ac:dyDescent="0.35">
      <c r="B46" s="395"/>
      <c r="C46" s="388"/>
      <c r="D46" s="388"/>
      <c r="E46" s="388"/>
      <c r="F46" s="388"/>
      <c r="G46" s="428"/>
      <c r="I46" s="128"/>
      <c r="J46" s="137"/>
      <c r="K46" s="17"/>
    </row>
    <row r="47" spans="2:11" ht="18" thickBot="1" x14ac:dyDescent="0.4">
      <c r="B47" s="395"/>
      <c r="C47" s="913" t="s">
        <v>77</v>
      </c>
      <c r="D47" s="914"/>
      <c r="E47" s="914"/>
      <c r="F47" s="915"/>
      <c r="G47" s="423"/>
      <c r="I47" s="128"/>
      <c r="J47" s="137"/>
      <c r="K47" s="17"/>
    </row>
    <row r="48" spans="2:11" ht="17.25" x14ac:dyDescent="0.35">
      <c r="B48" s="395"/>
      <c r="C48" s="398"/>
      <c r="D48" s="957" t="s">
        <v>48</v>
      </c>
      <c r="E48" s="955"/>
      <c r="F48" s="956"/>
      <c r="G48" s="423"/>
      <c r="I48" s="128"/>
      <c r="J48" s="137"/>
      <c r="K48" s="17"/>
    </row>
    <row r="49" spans="2:11" ht="17.25" x14ac:dyDescent="0.35">
      <c r="B49" s="400"/>
      <c r="C49" s="395"/>
      <c r="D49" s="409" t="s">
        <v>56</v>
      </c>
      <c r="E49" s="409" t="s">
        <v>57</v>
      </c>
      <c r="F49" s="410" t="s">
        <v>58</v>
      </c>
      <c r="G49" s="423"/>
      <c r="I49" s="128"/>
      <c r="J49" s="137"/>
      <c r="K49" s="17"/>
    </row>
    <row r="50" spans="2:11" x14ac:dyDescent="0.3">
      <c r="B50" s="395"/>
      <c r="C50" s="414" t="s">
        <v>78</v>
      </c>
      <c r="D50" s="430"/>
      <c r="E50" s="430"/>
      <c r="F50" s="431"/>
      <c r="G50" s="423"/>
      <c r="I50" s="128"/>
      <c r="J50" s="137"/>
      <c r="K50" s="17"/>
    </row>
    <row r="51" spans="2:11" x14ac:dyDescent="0.3">
      <c r="B51" s="395"/>
      <c r="C51" s="414" t="s">
        <v>79</v>
      </c>
      <c r="D51" s="430"/>
      <c r="E51" s="430"/>
      <c r="F51" s="431"/>
      <c r="G51" s="423"/>
      <c r="I51" s="128"/>
      <c r="J51" s="137"/>
      <c r="K51" s="17"/>
    </row>
    <row r="52" spans="2:11" x14ac:dyDescent="0.3">
      <c r="B52" s="395"/>
      <c r="C52" s="414" t="s">
        <v>80</v>
      </c>
      <c r="D52" s="430"/>
      <c r="E52" s="430"/>
      <c r="F52" s="431"/>
      <c r="G52" s="423"/>
      <c r="I52" s="128"/>
      <c r="J52" s="137"/>
      <c r="K52" s="17"/>
    </row>
    <row r="53" spans="2:11" x14ac:dyDescent="0.3">
      <c r="B53" s="395"/>
      <c r="C53" s="414" t="s">
        <v>81</v>
      </c>
      <c r="D53" s="430"/>
      <c r="E53" s="430"/>
      <c r="F53" s="431"/>
      <c r="G53" s="423"/>
      <c r="I53" s="128"/>
      <c r="J53" s="137"/>
      <c r="K53" s="17"/>
    </row>
    <row r="54" spans="2:11" ht="17.25" thickBot="1" x14ac:dyDescent="0.35">
      <c r="B54" s="395"/>
      <c r="C54" s="412" t="s">
        <v>438</v>
      </c>
      <c r="D54" s="427"/>
      <c r="E54" s="427"/>
      <c r="F54" s="432"/>
      <c r="G54" s="423"/>
      <c r="I54" s="128"/>
      <c r="J54" s="137"/>
      <c r="K54" s="17"/>
    </row>
    <row r="55" spans="2:11" ht="17.25" thickBot="1" x14ac:dyDescent="0.35">
      <c r="B55" s="395"/>
      <c r="C55" s="388"/>
      <c r="D55" s="388"/>
      <c r="E55" s="388"/>
      <c r="F55" s="388"/>
      <c r="G55" s="428"/>
      <c r="I55" s="128"/>
      <c r="J55" s="137"/>
      <c r="K55" s="17"/>
    </row>
    <row r="56" spans="2:11" ht="18" thickBot="1" x14ac:dyDescent="0.4">
      <c r="B56" s="395"/>
      <c r="C56" s="913" t="s">
        <v>82</v>
      </c>
      <c r="D56" s="914"/>
      <c r="E56" s="914"/>
      <c r="F56" s="915"/>
      <c r="G56" s="423"/>
      <c r="I56" s="128"/>
      <c r="J56" s="137"/>
      <c r="K56" s="17"/>
    </row>
    <row r="57" spans="2:11" ht="17.25" x14ac:dyDescent="0.35">
      <c r="B57" s="395"/>
      <c r="C57" s="398"/>
      <c r="D57" s="957" t="s">
        <v>48</v>
      </c>
      <c r="E57" s="955"/>
      <c r="F57" s="956"/>
      <c r="G57" s="423"/>
      <c r="I57" s="128"/>
      <c r="J57" s="137"/>
      <c r="K57" s="17"/>
    </row>
    <row r="58" spans="2:11" ht="17.25" x14ac:dyDescent="0.35">
      <c r="B58" s="413"/>
      <c r="C58" s="395"/>
      <c r="D58" s="409" t="s">
        <v>56</v>
      </c>
      <c r="E58" s="409" t="s">
        <v>57</v>
      </c>
      <c r="F58" s="410" t="s">
        <v>58</v>
      </c>
      <c r="G58" s="423"/>
      <c r="I58" s="128"/>
      <c r="J58" s="137"/>
      <c r="K58" s="17"/>
    </row>
    <row r="59" spans="2:11" x14ac:dyDescent="0.3">
      <c r="B59" s="395"/>
      <c r="C59" s="414" t="s">
        <v>83</v>
      </c>
      <c r="D59" s="430"/>
      <c r="E59" s="430"/>
      <c r="F59" s="431"/>
      <c r="G59" s="423"/>
      <c r="I59" s="128"/>
      <c r="J59" s="137"/>
      <c r="K59" s="17"/>
    </row>
    <row r="60" spans="2:11" x14ac:dyDescent="0.3">
      <c r="B60" s="395"/>
      <c r="C60" s="414" t="s">
        <v>84</v>
      </c>
      <c r="D60" s="430"/>
      <c r="E60" s="430"/>
      <c r="F60" s="431"/>
      <c r="G60" s="423"/>
      <c r="I60" s="128"/>
      <c r="J60" s="137"/>
      <c r="K60" s="17"/>
    </row>
    <row r="61" spans="2:11" x14ac:dyDescent="0.3">
      <c r="B61" s="395"/>
      <c r="C61" s="414" t="s">
        <v>85</v>
      </c>
      <c r="D61" s="430"/>
      <c r="E61" s="430"/>
      <c r="F61" s="431"/>
      <c r="G61" s="423"/>
      <c r="I61" s="128"/>
      <c r="J61" s="137"/>
      <c r="K61" s="17"/>
    </row>
    <row r="62" spans="2:11" x14ac:dyDescent="0.3">
      <c r="B62" s="395"/>
      <c r="C62" s="414" t="s">
        <v>86</v>
      </c>
      <c r="D62" s="430"/>
      <c r="E62" s="430"/>
      <c r="F62" s="431"/>
      <c r="G62" s="423"/>
      <c r="I62" s="128"/>
      <c r="J62" s="137"/>
      <c r="K62" s="17"/>
    </row>
    <row r="63" spans="2:11" x14ac:dyDescent="0.3">
      <c r="B63" s="395"/>
      <c r="C63" s="414" t="s">
        <v>87</v>
      </c>
      <c r="D63" s="430"/>
      <c r="E63" s="430"/>
      <c r="F63" s="431"/>
      <c r="G63" s="423"/>
      <c r="I63" s="128"/>
      <c r="J63" s="137"/>
      <c r="K63" s="17"/>
    </row>
    <row r="64" spans="2:11" x14ac:dyDescent="0.3">
      <c r="B64" s="395"/>
      <c r="C64" s="414" t="s">
        <v>88</v>
      </c>
      <c r="D64" s="430"/>
      <c r="E64" s="430"/>
      <c r="F64" s="431"/>
      <c r="G64" s="423"/>
      <c r="I64" s="128"/>
      <c r="J64" s="137"/>
      <c r="K64" s="17"/>
    </row>
    <row r="65" spans="2:11" x14ac:dyDescent="0.3">
      <c r="B65" s="395"/>
      <c r="C65" s="414" t="s">
        <v>89</v>
      </c>
      <c r="D65" s="430"/>
      <c r="E65" s="430"/>
      <c r="F65" s="431"/>
      <c r="G65" s="423"/>
      <c r="I65" s="128"/>
      <c r="J65" s="137"/>
      <c r="K65" s="17"/>
    </row>
    <row r="66" spans="2:11" ht="17.25" thickBot="1" x14ac:dyDescent="0.35">
      <c r="B66" s="395"/>
      <c r="C66" s="415" t="s">
        <v>90</v>
      </c>
      <c r="D66" s="427"/>
      <c r="E66" s="427"/>
      <c r="F66" s="432"/>
      <c r="G66" s="423"/>
      <c r="I66" s="128"/>
      <c r="J66" s="137"/>
      <c r="K66" s="17"/>
    </row>
    <row r="67" spans="2:11" ht="17.25" thickBot="1" x14ac:dyDescent="0.35">
      <c r="B67" s="395"/>
      <c r="C67" s="388"/>
      <c r="D67" s="388"/>
      <c r="E67" s="388"/>
      <c r="F67" s="388"/>
      <c r="G67" s="428"/>
      <c r="I67" s="128"/>
      <c r="J67" s="137"/>
      <c r="K67" s="17"/>
    </row>
    <row r="68" spans="2:11" ht="18" thickBot="1" x14ac:dyDescent="0.4">
      <c r="B68" s="395"/>
      <c r="C68" s="913" t="s">
        <v>91</v>
      </c>
      <c r="D68" s="914"/>
      <c r="E68" s="914"/>
      <c r="F68" s="915"/>
      <c r="G68" s="423"/>
      <c r="I68" s="128"/>
      <c r="J68" s="137"/>
      <c r="K68" s="17"/>
    </row>
    <row r="69" spans="2:11" ht="17.25" x14ac:dyDescent="0.35">
      <c r="B69" s="400"/>
      <c r="C69" s="398"/>
      <c r="D69" s="957" t="s">
        <v>48</v>
      </c>
      <c r="E69" s="955"/>
      <c r="F69" s="956"/>
      <c r="G69" s="428"/>
      <c r="I69" s="128"/>
      <c r="J69" s="137"/>
      <c r="K69" s="17"/>
    </row>
    <row r="70" spans="2:11" x14ac:dyDescent="0.3">
      <c r="B70" s="395"/>
      <c r="C70" s="414" t="s">
        <v>92</v>
      </c>
      <c r="D70" s="944"/>
      <c r="E70" s="944"/>
      <c r="F70" s="945"/>
      <c r="G70" s="428"/>
      <c r="I70" s="128"/>
      <c r="J70" s="137"/>
      <c r="K70" s="17"/>
    </row>
    <row r="71" spans="2:11" x14ac:dyDescent="0.3">
      <c r="B71" s="395"/>
      <c r="C71" s="414" t="s">
        <v>93</v>
      </c>
      <c r="D71" s="944"/>
      <c r="E71" s="944"/>
      <c r="F71" s="945"/>
      <c r="G71" s="428"/>
      <c r="I71" s="128"/>
      <c r="J71" s="137"/>
      <c r="K71" s="17"/>
    </row>
    <row r="72" spans="2:11" x14ac:dyDescent="0.3">
      <c r="B72" s="395"/>
      <c r="C72" s="414" t="s">
        <v>308</v>
      </c>
      <c r="D72" s="944"/>
      <c r="E72" s="944"/>
      <c r="F72" s="945"/>
      <c r="G72" s="428"/>
      <c r="I72" s="128"/>
      <c r="J72" s="137"/>
      <c r="K72" s="17"/>
    </row>
    <row r="73" spans="2:11" x14ac:dyDescent="0.3">
      <c r="B73" s="395"/>
      <c r="C73" s="414" t="s">
        <v>94</v>
      </c>
      <c r="D73" s="946" t="str">
        <f>IF(D70+D72=0,"",D70+D72)</f>
        <v/>
      </c>
      <c r="E73" s="946"/>
      <c r="F73" s="947"/>
      <c r="G73" s="428"/>
      <c r="I73" s="129"/>
      <c r="J73" s="138"/>
      <c r="K73" s="17"/>
    </row>
    <row r="74" spans="2:11" x14ac:dyDescent="0.3">
      <c r="B74" s="395"/>
      <c r="C74" s="414" t="s">
        <v>95</v>
      </c>
      <c r="D74" s="944"/>
      <c r="E74" s="944"/>
      <c r="F74" s="945"/>
      <c r="G74" s="428"/>
      <c r="I74" s="129"/>
      <c r="J74" s="138"/>
      <c r="K74" s="17"/>
    </row>
    <row r="75" spans="2:11" x14ac:dyDescent="0.3">
      <c r="B75" s="395"/>
      <c r="C75" s="414" t="s">
        <v>96</v>
      </c>
      <c r="D75" s="944"/>
      <c r="E75" s="944"/>
      <c r="F75" s="945"/>
      <c r="G75" s="428"/>
      <c r="I75" s="129"/>
      <c r="J75" s="138"/>
      <c r="K75" s="17"/>
    </row>
    <row r="76" spans="2:11" x14ac:dyDescent="0.3">
      <c r="B76" s="395"/>
      <c r="C76" s="414" t="s">
        <v>97</v>
      </c>
      <c r="D76" s="944"/>
      <c r="E76" s="944"/>
      <c r="F76" s="945"/>
      <c r="G76" s="428"/>
      <c r="I76" s="129"/>
      <c r="J76" s="138"/>
      <c r="K76" s="17"/>
    </row>
    <row r="77" spans="2:11" x14ac:dyDescent="0.3">
      <c r="B77" s="395"/>
      <c r="C77" s="414" t="s">
        <v>308</v>
      </c>
      <c r="D77" s="944"/>
      <c r="E77" s="944"/>
      <c r="F77" s="945"/>
      <c r="G77" s="428"/>
      <c r="I77" s="129"/>
      <c r="J77" s="138"/>
      <c r="K77" s="17"/>
    </row>
    <row r="78" spans="2:11" ht="17.25" thickBot="1" x14ac:dyDescent="0.35">
      <c r="B78" s="395"/>
      <c r="C78" s="415" t="s">
        <v>94</v>
      </c>
      <c r="D78" s="950" t="str">
        <f>IF(D75+D77=0,"",D75+D77)</f>
        <v/>
      </c>
      <c r="E78" s="950"/>
      <c r="F78" s="951"/>
      <c r="G78" s="428"/>
      <c r="I78" s="130"/>
      <c r="J78" s="137"/>
      <c r="K78" s="17"/>
    </row>
    <row r="79" spans="2:11" ht="17.25" thickBot="1" x14ac:dyDescent="0.35">
      <c r="B79" s="416"/>
      <c r="C79" s="405"/>
      <c r="D79" s="507"/>
      <c r="E79" s="405"/>
      <c r="F79" s="405"/>
      <c r="G79" s="433"/>
      <c r="I79" s="130"/>
      <c r="J79" s="137"/>
      <c r="K79" s="17"/>
    </row>
    <row r="80" spans="2:11" ht="17.25" thickBot="1" x14ac:dyDescent="0.35">
      <c r="B80" s="380"/>
      <c r="C80" s="380"/>
      <c r="D80" s="380"/>
      <c r="E80" s="380"/>
      <c r="F80" s="388"/>
      <c r="G80" s="434"/>
      <c r="K80" s="17"/>
    </row>
    <row r="81" spans="2:11" ht="18.75" thickBot="1" x14ac:dyDescent="0.4">
      <c r="B81" s="939" t="s">
        <v>427</v>
      </c>
      <c r="C81" s="940"/>
      <c r="D81" s="940"/>
      <c r="E81" s="940"/>
      <c r="F81" s="940"/>
      <c r="G81" s="941"/>
      <c r="K81" s="17"/>
    </row>
    <row r="82" spans="2:11" ht="18" thickBot="1" x14ac:dyDescent="0.4">
      <c r="B82" s="400"/>
      <c r="C82" s="388"/>
      <c r="D82" s="388"/>
      <c r="E82" s="388"/>
      <c r="F82" s="388"/>
      <c r="G82" s="422"/>
      <c r="K82" s="17"/>
    </row>
    <row r="83" spans="2:11" ht="18" thickBot="1" x14ac:dyDescent="0.4">
      <c r="B83" s="400"/>
      <c r="C83" s="913" t="s">
        <v>55</v>
      </c>
      <c r="D83" s="914"/>
      <c r="E83" s="914"/>
      <c r="F83" s="915"/>
      <c r="G83" s="423"/>
      <c r="K83" s="17"/>
    </row>
    <row r="84" spans="2:11" ht="17.25" x14ac:dyDescent="0.35">
      <c r="B84" s="395"/>
      <c r="C84" s="398"/>
      <c r="D84" s="957" t="s">
        <v>48</v>
      </c>
      <c r="E84" s="955"/>
      <c r="F84" s="956"/>
      <c r="G84" s="423"/>
      <c r="K84" s="17"/>
    </row>
    <row r="85" spans="2:11" ht="17.25" x14ac:dyDescent="0.35">
      <c r="B85" s="400"/>
      <c r="C85" s="395"/>
      <c r="D85" s="409" t="s">
        <v>56</v>
      </c>
      <c r="E85" s="409" t="s">
        <v>57</v>
      </c>
      <c r="F85" s="410" t="s">
        <v>58</v>
      </c>
      <c r="G85" s="423"/>
      <c r="K85" s="17"/>
    </row>
    <row r="86" spans="2:11" x14ac:dyDescent="0.3">
      <c r="B86" s="395"/>
      <c r="C86" s="386" t="s">
        <v>442</v>
      </c>
      <c r="D86" s="430"/>
      <c r="E86" s="430"/>
      <c r="F86" s="431"/>
      <c r="G86" s="423"/>
      <c r="K86" s="17"/>
    </row>
    <row r="87" spans="2:11" x14ac:dyDescent="0.3">
      <c r="B87" s="395"/>
      <c r="C87" s="386" t="s">
        <v>443</v>
      </c>
      <c r="D87" s="430"/>
      <c r="E87" s="430"/>
      <c r="F87" s="431"/>
      <c r="G87" s="423"/>
      <c r="K87" s="17"/>
    </row>
    <row r="88" spans="2:11" x14ac:dyDescent="0.3">
      <c r="B88" s="395"/>
      <c r="C88" s="414" t="s">
        <v>59</v>
      </c>
      <c r="D88" s="430"/>
      <c r="E88" s="430"/>
      <c r="F88" s="431"/>
      <c r="G88" s="423"/>
      <c r="K88" s="17"/>
    </row>
    <row r="89" spans="2:11" x14ac:dyDescent="0.3">
      <c r="B89" s="395"/>
      <c r="C89" s="414" t="s">
        <v>60</v>
      </c>
      <c r="D89" s="430"/>
      <c r="E89" s="430"/>
      <c r="F89" s="431"/>
      <c r="G89" s="423"/>
      <c r="K89" s="17"/>
    </row>
    <row r="90" spans="2:11" x14ac:dyDescent="0.3">
      <c r="B90" s="395"/>
      <c r="C90" s="386" t="s">
        <v>445</v>
      </c>
      <c r="D90" s="430"/>
      <c r="E90" s="388"/>
      <c r="F90" s="399"/>
      <c r="G90" s="423"/>
      <c r="I90" s="128"/>
      <c r="J90" s="137"/>
      <c r="K90" s="17"/>
    </row>
    <row r="91" spans="2:11" ht="17.25" thickBot="1" x14ac:dyDescent="0.35">
      <c r="B91" s="395"/>
      <c r="C91" s="391" t="s">
        <v>453</v>
      </c>
      <c r="D91" s="427"/>
      <c r="E91" s="405"/>
      <c r="F91" s="406"/>
      <c r="G91" s="423"/>
      <c r="K91" s="17"/>
    </row>
    <row r="92" spans="2:11" ht="17.25" thickBot="1" x14ac:dyDescent="0.35">
      <c r="B92" s="395"/>
      <c r="C92" s="407"/>
      <c r="D92" s="388"/>
      <c r="E92" s="388"/>
      <c r="F92" s="388"/>
      <c r="G92" s="428"/>
      <c r="K92" s="17"/>
    </row>
    <row r="93" spans="2:11" ht="18" thickBot="1" x14ac:dyDescent="0.4">
      <c r="B93" s="395"/>
      <c r="C93" s="913" t="s">
        <v>61</v>
      </c>
      <c r="D93" s="914"/>
      <c r="E93" s="914"/>
      <c r="F93" s="915"/>
      <c r="G93" s="423"/>
      <c r="K93" s="17"/>
    </row>
    <row r="94" spans="2:11" ht="17.25" x14ac:dyDescent="0.35">
      <c r="B94" s="395"/>
      <c r="C94" s="429"/>
      <c r="D94" s="957" t="s">
        <v>48</v>
      </c>
      <c r="E94" s="955"/>
      <c r="F94" s="956"/>
      <c r="G94" s="423"/>
      <c r="K94" s="17"/>
    </row>
    <row r="95" spans="2:11" ht="17.25" x14ac:dyDescent="0.35">
      <c r="B95" s="400"/>
      <c r="C95" s="408"/>
      <c r="D95" s="409" t="s">
        <v>56</v>
      </c>
      <c r="E95" s="409" t="s">
        <v>57</v>
      </c>
      <c r="F95" s="410" t="s">
        <v>58</v>
      </c>
      <c r="G95" s="423"/>
      <c r="K95" s="17"/>
    </row>
    <row r="96" spans="2:11" x14ac:dyDescent="0.3">
      <c r="B96" s="395"/>
      <c r="C96" s="414" t="s">
        <v>62</v>
      </c>
      <c r="D96" s="430"/>
      <c r="E96" s="430"/>
      <c r="F96" s="431"/>
      <c r="G96" s="423"/>
      <c r="K96" s="17"/>
    </row>
    <row r="97" spans="2:11" x14ac:dyDescent="0.3">
      <c r="B97" s="395"/>
      <c r="C97" s="414" t="s">
        <v>63</v>
      </c>
      <c r="D97" s="430"/>
      <c r="E97" s="430"/>
      <c r="F97" s="431"/>
      <c r="G97" s="423"/>
      <c r="K97" s="17"/>
    </row>
    <row r="98" spans="2:11" x14ac:dyDescent="0.3">
      <c r="B98" s="395"/>
      <c r="C98" s="414" t="s">
        <v>64</v>
      </c>
      <c r="D98" s="430"/>
      <c r="E98" s="430"/>
      <c r="F98" s="431"/>
      <c r="G98" s="423"/>
      <c r="K98" s="17"/>
    </row>
    <row r="99" spans="2:11" x14ac:dyDescent="0.3">
      <c r="B99" s="395"/>
      <c r="C99" s="414" t="s">
        <v>422</v>
      </c>
      <c r="D99" s="430"/>
      <c r="E99" s="430"/>
      <c r="F99" s="431"/>
      <c r="G99" s="423"/>
      <c r="K99" s="17"/>
    </row>
    <row r="100" spans="2:11" ht="17.25" thickBot="1" x14ac:dyDescent="0.35">
      <c r="B100" s="395"/>
      <c r="C100" s="391" t="s">
        <v>437</v>
      </c>
      <c r="D100" s="427"/>
      <c r="E100" s="427"/>
      <c r="F100" s="432"/>
      <c r="G100" s="423"/>
      <c r="K100" s="17"/>
    </row>
    <row r="101" spans="2:11" ht="17.25" thickBot="1" x14ac:dyDescent="0.35">
      <c r="B101" s="395"/>
      <c r="C101" s="388"/>
      <c r="D101" s="388"/>
      <c r="E101" s="388"/>
      <c r="F101" s="417"/>
      <c r="G101" s="428"/>
      <c r="K101" s="17"/>
    </row>
    <row r="102" spans="2:11" ht="18" thickBot="1" x14ac:dyDescent="0.4">
      <c r="B102" s="395"/>
      <c r="C102" s="913" t="s">
        <v>65</v>
      </c>
      <c r="D102" s="914"/>
      <c r="E102" s="914"/>
      <c r="F102" s="915"/>
      <c r="G102" s="423"/>
      <c r="K102" s="17"/>
    </row>
    <row r="103" spans="2:11" ht="17.25" x14ac:dyDescent="0.35">
      <c r="B103" s="395"/>
      <c r="C103" s="398"/>
      <c r="D103" s="957" t="s">
        <v>48</v>
      </c>
      <c r="E103" s="955"/>
      <c r="F103" s="956"/>
      <c r="G103" s="423"/>
      <c r="K103" s="17"/>
    </row>
    <row r="104" spans="2:11" ht="17.25" x14ac:dyDescent="0.35">
      <c r="B104" s="400"/>
      <c r="C104" s="395"/>
      <c r="D104" s="409" t="s">
        <v>56</v>
      </c>
      <c r="E104" s="409" t="s">
        <v>57</v>
      </c>
      <c r="F104" s="410" t="s">
        <v>58</v>
      </c>
      <c r="G104" s="423"/>
      <c r="K104" s="17"/>
    </row>
    <row r="105" spans="2:11" x14ac:dyDescent="0.3">
      <c r="B105" s="395"/>
      <c r="C105" s="414" t="s">
        <v>66</v>
      </c>
      <c r="D105" s="430"/>
      <c r="E105" s="430"/>
      <c r="F105" s="431"/>
      <c r="G105" s="423"/>
      <c r="K105" s="17"/>
    </row>
    <row r="106" spans="2:11" x14ac:dyDescent="0.3">
      <c r="B106" s="395"/>
      <c r="C106" s="414" t="s">
        <v>67</v>
      </c>
      <c r="D106" s="430"/>
      <c r="E106" s="430"/>
      <c r="F106" s="431"/>
      <c r="G106" s="423"/>
      <c r="K106" s="17"/>
    </row>
    <row r="107" spans="2:11" x14ac:dyDescent="0.3">
      <c r="B107" s="395"/>
      <c r="C107" s="414" t="s">
        <v>68</v>
      </c>
      <c r="D107" s="430"/>
      <c r="E107" s="430"/>
      <c r="F107" s="431"/>
      <c r="G107" s="423"/>
      <c r="K107" s="17"/>
    </row>
    <row r="108" spans="2:11" x14ac:dyDescent="0.3">
      <c r="B108" s="395"/>
      <c r="C108" s="414" t="s">
        <v>69</v>
      </c>
      <c r="D108" s="430"/>
      <c r="E108" s="430"/>
      <c r="F108" s="431"/>
      <c r="G108" s="423"/>
      <c r="K108" s="17"/>
    </row>
    <row r="109" spans="2:11" x14ac:dyDescent="0.3">
      <c r="B109" s="395"/>
      <c r="C109" s="414" t="s">
        <v>70</v>
      </c>
      <c r="D109" s="430"/>
      <c r="E109" s="430"/>
      <c r="F109" s="431"/>
      <c r="G109" s="423"/>
      <c r="K109" s="17"/>
    </row>
    <row r="110" spans="2:11" x14ac:dyDescent="0.3">
      <c r="B110" s="395"/>
      <c r="C110" s="414" t="s">
        <v>71</v>
      </c>
      <c r="D110" s="430"/>
      <c r="E110" s="430"/>
      <c r="F110" s="431"/>
      <c r="G110" s="423"/>
      <c r="K110" s="17"/>
    </row>
    <row r="111" spans="2:11" x14ac:dyDescent="0.3">
      <c r="B111" s="395"/>
      <c r="C111" s="414" t="s">
        <v>72</v>
      </c>
      <c r="D111" s="430"/>
      <c r="E111" s="430"/>
      <c r="F111" s="431"/>
      <c r="G111" s="423"/>
      <c r="K111" s="17"/>
    </row>
    <row r="112" spans="2:11" x14ac:dyDescent="0.3">
      <c r="B112" s="395"/>
      <c r="C112" s="414" t="s">
        <v>73</v>
      </c>
      <c r="D112" s="430"/>
      <c r="E112" s="430"/>
      <c r="F112" s="431"/>
      <c r="G112" s="423"/>
      <c r="K112" s="17"/>
    </row>
    <row r="113" spans="2:11" x14ac:dyDescent="0.3">
      <c r="B113" s="395"/>
      <c r="C113" s="414" t="s">
        <v>74</v>
      </c>
      <c r="D113" s="430"/>
      <c r="E113" s="430"/>
      <c r="F113" s="431"/>
      <c r="G113" s="423"/>
      <c r="K113" s="17"/>
    </row>
    <row r="114" spans="2:11" x14ac:dyDescent="0.3">
      <c r="B114" s="395"/>
      <c r="C114" s="414" t="s">
        <v>75</v>
      </c>
      <c r="D114" s="430"/>
      <c r="E114" s="430"/>
      <c r="F114" s="431"/>
      <c r="G114" s="423"/>
      <c r="K114" s="17"/>
    </row>
    <row r="115" spans="2:11" ht="17.25" thickBot="1" x14ac:dyDescent="0.35">
      <c r="B115" s="395"/>
      <c r="C115" s="415" t="s">
        <v>76</v>
      </c>
      <c r="D115" s="427"/>
      <c r="E115" s="427"/>
      <c r="F115" s="432"/>
      <c r="G115" s="423"/>
      <c r="K115" s="17"/>
    </row>
    <row r="116" spans="2:11" ht="17.25" thickBot="1" x14ac:dyDescent="0.35">
      <c r="B116" s="395"/>
      <c r="C116" s="388"/>
      <c r="D116" s="388"/>
      <c r="E116" s="388"/>
      <c r="F116" s="388"/>
      <c r="G116" s="428"/>
      <c r="K116" s="17"/>
    </row>
    <row r="117" spans="2:11" ht="18" thickBot="1" x14ac:dyDescent="0.4">
      <c r="B117" s="395"/>
      <c r="C117" s="913" t="s">
        <v>77</v>
      </c>
      <c r="D117" s="914"/>
      <c r="E117" s="914"/>
      <c r="F117" s="915"/>
      <c r="G117" s="423"/>
      <c r="K117" s="17"/>
    </row>
    <row r="118" spans="2:11" ht="17.25" x14ac:dyDescent="0.35">
      <c r="B118" s="395"/>
      <c r="C118" s="398"/>
      <c r="D118" s="957" t="s">
        <v>48</v>
      </c>
      <c r="E118" s="955"/>
      <c r="F118" s="956"/>
      <c r="G118" s="423"/>
      <c r="K118" s="17"/>
    </row>
    <row r="119" spans="2:11" ht="17.25" x14ac:dyDescent="0.35">
      <c r="B119" s="400"/>
      <c r="C119" s="395"/>
      <c r="D119" s="409" t="s">
        <v>56</v>
      </c>
      <c r="E119" s="409" t="s">
        <v>57</v>
      </c>
      <c r="F119" s="410" t="s">
        <v>58</v>
      </c>
      <c r="G119" s="423"/>
      <c r="K119" s="17"/>
    </row>
    <row r="120" spans="2:11" x14ac:dyDescent="0.3">
      <c r="B120" s="395"/>
      <c r="C120" s="414" t="s">
        <v>78</v>
      </c>
      <c r="D120" s="430"/>
      <c r="E120" s="430"/>
      <c r="F120" s="431"/>
      <c r="G120" s="423"/>
      <c r="K120" s="17"/>
    </row>
    <row r="121" spans="2:11" x14ac:dyDescent="0.3">
      <c r="B121" s="395"/>
      <c r="C121" s="414" t="s">
        <v>79</v>
      </c>
      <c r="D121" s="430"/>
      <c r="E121" s="430"/>
      <c r="F121" s="431"/>
      <c r="G121" s="423"/>
      <c r="K121" s="17"/>
    </row>
    <row r="122" spans="2:11" x14ac:dyDescent="0.3">
      <c r="B122" s="395"/>
      <c r="C122" s="414" t="s">
        <v>80</v>
      </c>
      <c r="D122" s="430"/>
      <c r="E122" s="430"/>
      <c r="F122" s="431"/>
      <c r="G122" s="423"/>
      <c r="K122" s="17"/>
    </row>
    <row r="123" spans="2:11" x14ac:dyDescent="0.3">
      <c r="B123" s="395"/>
      <c r="C123" s="414" t="s">
        <v>81</v>
      </c>
      <c r="D123" s="430"/>
      <c r="E123" s="430"/>
      <c r="F123" s="431"/>
      <c r="G123" s="423"/>
      <c r="K123" s="17"/>
    </row>
    <row r="124" spans="2:11" ht="17.25" thickBot="1" x14ac:dyDescent="0.35">
      <c r="B124" s="395"/>
      <c r="C124" s="412" t="s">
        <v>438</v>
      </c>
      <c r="D124" s="427"/>
      <c r="E124" s="427"/>
      <c r="F124" s="432"/>
      <c r="G124" s="423"/>
      <c r="K124" s="17"/>
    </row>
    <row r="125" spans="2:11" ht="17.25" thickBot="1" x14ac:dyDescent="0.35">
      <c r="B125" s="395"/>
      <c r="C125" s="388"/>
      <c r="D125" s="388"/>
      <c r="E125" s="388"/>
      <c r="F125" s="388"/>
      <c r="G125" s="428"/>
      <c r="K125" s="17"/>
    </row>
    <row r="126" spans="2:11" ht="18" thickBot="1" x14ac:dyDescent="0.4">
      <c r="B126" s="395"/>
      <c r="C126" s="913" t="s">
        <v>82</v>
      </c>
      <c r="D126" s="914"/>
      <c r="E126" s="914"/>
      <c r="F126" s="915"/>
      <c r="G126" s="423"/>
      <c r="K126" s="17"/>
    </row>
    <row r="127" spans="2:11" ht="17.25" x14ac:dyDescent="0.35">
      <c r="B127" s="395"/>
      <c r="C127" s="398"/>
      <c r="D127" s="957" t="s">
        <v>48</v>
      </c>
      <c r="E127" s="955"/>
      <c r="F127" s="956"/>
      <c r="G127" s="423"/>
      <c r="K127" s="17"/>
    </row>
    <row r="128" spans="2:11" ht="17.25" x14ac:dyDescent="0.35">
      <c r="B128" s="413"/>
      <c r="C128" s="395"/>
      <c r="D128" s="409" t="s">
        <v>56</v>
      </c>
      <c r="E128" s="409" t="s">
        <v>57</v>
      </c>
      <c r="F128" s="410" t="s">
        <v>58</v>
      </c>
      <c r="G128" s="423"/>
      <c r="K128" s="17"/>
    </row>
    <row r="129" spans="2:11" x14ac:dyDescent="0.3">
      <c r="B129" s="395"/>
      <c r="C129" s="414" t="s">
        <v>83</v>
      </c>
      <c r="D129" s="430"/>
      <c r="E129" s="430"/>
      <c r="F129" s="431"/>
      <c r="G129" s="423"/>
      <c r="K129" s="17"/>
    </row>
    <row r="130" spans="2:11" x14ac:dyDescent="0.3">
      <c r="B130" s="395"/>
      <c r="C130" s="414" t="s">
        <v>84</v>
      </c>
      <c r="D130" s="430"/>
      <c r="E130" s="430"/>
      <c r="F130" s="431"/>
      <c r="G130" s="423"/>
      <c r="K130" s="17"/>
    </row>
    <row r="131" spans="2:11" x14ac:dyDescent="0.3">
      <c r="B131" s="395"/>
      <c r="C131" s="414" t="s">
        <v>85</v>
      </c>
      <c r="D131" s="430"/>
      <c r="E131" s="430"/>
      <c r="F131" s="431"/>
      <c r="G131" s="423"/>
      <c r="K131" s="17"/>
    </row>
    <row r="132" spans="2:11" x14ac:dyDescent="0.3">
      <c r="B132" s="395"/>
      <c r="C132" s="414" t="s">
        <v>86</v>
      </c>
      <c r="D132" s="430"/>
      <c r="E132" s="430"/>
      <c r="F132" s="431"/>
      <c r="G132" s="423"/>
      <c r="K132" s="17"/>
    </row>
    <row r="133" spans="2:11" x14ac:dyDescent="0.3">
      <c r="B133" s="395"/>
      <c r="C133" s="414" t="s">
        <v>87</v>
      </c>
      <c r="D133" s="430"/>
      <c r="E133" s="430"/>
      <c r="F133" s="431"/>
      <c r="G133" s="423"/>
      <c r="K133" s="17"/>
    </row>
    <row r="134" spans="2:11" x14ac:dyDescent="0.3">
      <c r="B134" s="395"/>
      <c r="C134" s="414" t="s">
        <v>88</v>
      </c>
      <c r="D134" s="430"/>
      <c r="E134" s="430"/>
      <c r="F134" s="431"/>
      <c r="G134" s="423"/>
      <c r="K134" s="17"/>
    </row>
    <row r="135" spans="2:11" x14ac:dyDescent="0.3">
      <c r="B135" s="395"/>
      <c r="C135" s="414" t="s">
        <v>89</v>
      </c>
      <c r="D135" s="430"/>
      <c r="E135" s="430"/>
      <c r="F135" s="431"/>
      <c r="G135" s="423"/>
      <c r="K135" s="17"/>
    </row>
    <row r="136" spans="2:11" ht="17.25" thickBot="1" x14ac:dyDescent="0.35">
      <c r="B136" s="395"/>
      <c r="C136" s="415" t="s">
        <v>90</v>
      </c>
      <c r="D136" s="427"/>
      <c r="E136" s="427"/>
      <c r="F136" s="432"/>
      <c r="G136" s="423"/>
      <c r="K136" s="17"/>
    </row>
    <row r="137" spans="2:11" ht="17.25" thickBot="1" x14ac:dyDescent="0.35">
      <c r="B137" s="395"/>
      <c r="C137" s="388"/>
      <c r="D137" s="388"/>
      <c r="E137" s="388"/>
      <c r="F137" s="388"/>
      <c r="G137" s="428"/>
      <c r="K137" s="17"/>
    </row>
    <row r="138" spans="2:11" ht="18" thickBot="1" x14ac:dyDescent="0.4">
      <c r="B138" s="395"/>
      <c r="C138" s="913" t="s">
        <v>91</v>
      </c>
      <c r="D138" s="914"/>
      <c r="E138" s="914"/>
      <c r="F138" s="915"/>
      <c r="G138" s="423"/>
      <c r="K138" s="17"/>
    </row>
    <row r="139" spans="2:11" ht="17.25" x14ac:dyDescent="0.35">
      <c r="B139" s="400"/>
      <c r="C139" s="398"/>
      <c r="D139" s="957" t="s">
        <v>48</v>
      </c>
      <c r="E139" s="955"/>
      <c r="F139" s="956"/>
      <c r="G139" s="428"/>
      <c r="K139" s="17"/>
    </row>
    <row r="140" spans="2:11" x14ac:dyDescent="0.3">
      <c r="B140" s="395"/>
      <c r="C140" s="414" t="s">
        <v>92</v>
      </c>
      <c r="D140" s="944"/>
      <c r="E140" s="944"/>
      <c r="F140" s="945"/>
      <c r="G140" s="428"/>
      <c r="K140" s="17"/>
    </row>
    <row r="141" spans="2:11" x14ac:dyDescent="0.3">
      <c r="B141" s="395"/>
      <c r="C141" s="414" t="s">
        <v>93</v>
      </c>
      <c r="D141" s="944"/>
      <c r="E141" s="944"/>
      <c r="F141" s="945"/>
      <c r="G141" s="428"/>
      <c r="K141" s="17"/>
    </row>
    <row r="142" spans="2:11" x14ac:dyDescent="0.3">
      <c r="B142" s="395"/>
      <c r="C142" s="414" t="s">
        <v>308</v>
      </c>
      <c r="D142" s="944"/>
      <c r="E142" s="944"/>
      <c r="F142" s="945"/>
      <c r="G142" s="428"/>
      <c r="K142" s="17"/>
    </row>
    <row r="143" spans="2:11" x14ac:dyDescent="0.3">
      <c r="B143" s="395"/>
      <c r="C143" s="414" t="s">
        <v>94</v>
      </c>
      <c r="D143" s="946" t="str">
        <f>IF(D140+D142=0,"",D140+D142)</f>
        <v/>
      </c>
      <c r="E143" s="946"/>
      <c r="F143" s="947"/>
      <c r="G143" s="428"/>
      <c r="K143" s="17"/>
    </row>
    <row r="144" spans="2:11" x14ac:dyDescent="0.3">
      <c r="B144" s="395"/>
      <c r="C144" s="414" t="s">
        <v>95</v>
      </c>
      <c r="D144" s="944"/>
      <c r="E144" s="944"/>
      <c r="F144" s="945"/>
      <c r="G144" s="428"/>
      <c r="K144" s="17"/>
    </row>
    <row r="145" spans="2:11" x14ac:dyDescent="0.3">
      <c r="B145" s="395"/>
      <c r="C145" s="414" t="s">
        <v>96</v>
      </c>
      <c r="D145" s="944"/>
      <c r="E145" s="944"/>
      <c r="F145" s="945"/>
      <c r="G145" s="428"/>
      <c r="K145" s="17"/>
    </row>
    <row r="146" spans="2:11" x14ac:dyDescent="0.3">
      <c r="B146" s="395"/>
      <c r="C146" s="414" t="s">
        <v>97</v>
      </c>
      <c r="D146" s="944"/>
      <c r="E146" s="944"/>
      <c r="F146" s="945"/>
      <c r="G146" s="428"/>
      <c r="K146" s="17"/>
    </row>
    <row r="147" spans="2:11" x14ac:dyDescent="0.3">
      <c r="B147" s="395"/>
      <c r="C147" s="414" t="s">
        <v>308</v>
      </c>
      <c r="D147" s="944"/>
      <c r="E147" s="944"/>
      <c r="F147" s="945"/>
      <c r="G147" s="428"/>
      <c r="K147" s="17"/>
    </row>
    <row r="148" spans="2:11" ht="17.25" thickBot="1" x14ac:dyDescent="0.35">
      <c r="B148" s="395"/>
      <c r="C148" s="415" t="s">
        <v>94</v>
      </c>
      <c r="D148" s="950" t="str">
        <f>IF(D145+D147=0,"",D145+D147)</f>
        <v/>
      </c>
      <c r="E148" s="950"/>
      <c r="F148" s="951"/>
      <c r="G148" s="428"/>
      <c r="K148" s="17"/>
    </row>
    <row r="149" spans="2:11" ht="17.25" thickBot="1" x14ac:dyDescent="0.35">
      <c r="B149" s="416"/>
      <c r="C149" s="405"/>
      <c r="D149" s="405"/>
      <c r="E149" s="405"/>
      <c r="F149" s="405"/>
      <c r="G149" s="433"/>
      <c r="K149" s="17"/>
    </row>
    <row r="150" spans="2:11" ht="17.25" thickBot="1" x14ac:dyDescent="0.35">
      <c r="B150" s="380"/>
      <c r="C150" s="380"/>
      <c r="D150" s="380"/>
      <c r="E150" s="380"/>
      <c r="F150" s="388"/>
      <c r="G150" s="434"/>
      <c r="K150" s="17"/>
    </row>
    <row r="151" spans="2:11" ht="18.75" thickBot="1" x14ac:dyDescent="0.4">
      <c r="B151" s="939" t="s">
        <v>428</v>
      </c>
      <c r="C151" s="940"/>
      <c r="D151" s="940"/>
      <c r="E151" s="940"/>
      <c r="F151" s="940"/>
      <c r="G151" s="941"/>
      <c r="K151" s="17"/>
    </row>
    <row r="152" spans="2:11" ht="18" thickBot="1" x14ac:dyDescent="0.4">
      <c r="B152" s="383"/>
      <c r="C152" s="421"/>
      <c r="D152" s="421"/>
      <c r="E152" s="421"/>
      <c r="F152" s="421"/>
      <c r="G152" s="422"/>
      <c r="K152" s="17"/>
    </row>
    <row r="153" spans="2:11" ht="18" thickBot="1" x14ac:dyDescent="0.4">
      <c r="B153" s="400"/>
      <c r="C153" s="913" t="s">
        <v>55</v>
      </c>
      <c r="D153" s="914"/>
      <c r="E153" s="914"/>
      <c r="F153" s="915"/>
      <c r="G153" s="423"/>
      <c r="K153" s="17"/>
    </row>
    <row r="154" spans="2:11" ht="17.25" x14ac:dyDescent="0.35">
      <c r="B154" s="395"/>
      <c r="C154" s="398"/>
      <c r="D154" s="957" t="s">
        <v>48</v>
      </c>
      <c r="E154" s="955"/>
      <c r="F154" s="956"/>
      <c r="G154" s="423"/>
      <c r="K154" s="17"/>
    </row>
    <row r="155" spans="2:11" ht="17.25" x14ac:dyDescent="0.35">
      <c r="B155" s="400"/>
      <c r="C155" s="395"/>
      <c r="D155" s="409" t="s">
        <v>56</v>
      </c>
      <c r="E155" s="409" t="s">
        <v>57</v>
      </c>
      <c r="F155" s="410" t="s">
        <v>58</v>
      </c>
      <c r="G155" s="423"/>
      <c r="K155" s="17"/>
    </row>
    <row r="156" spans="2:11" x14ac:dyDescent="0.3">
      <c r="B156" s="395"/>
      <c r="C156" s="386" t="s">
        <v>442</v>
      </c>
      <c r="D156" s="430"/>
      <c r="E156" s="430"/>
      <c r="F156" s="431"/>
      <c r="G156" s="423"/>
      <c r="K156" s="17"/>
    </row>
    <row r="157" spans="2:11" x14ac:dyDescent="0.3">
      <c r="B157" s="395"/>
      <c r="C157" s="386" t="s">
        <v>443</v>
      </c>
      <c r="D157" s="430"/>
      <c r="E157" s="430"/>
      <c r="F157" s="431"/>
      <c r="G157" s="423"/>
      <c r="K157" s="17"/>
    </row>
    <row r="158" spans="2:11" x14ac:dyDescent="0.3">
      <c r="B158" s="395"/>
      <c r="C158" s="414" t="s">
        <v>59</v>
      </c>
      <c r="D158" s="430"/>
      <c r="E158" s="430"/>
      <c r="F158" s="431"/>
      <c r="G158" s="423"/>
      <c r="K158" s="17"/>
    </row>
    <row r="159" spans="2:11" x14ac:dyDescent="0.3">
      <c r="B159" s="395"/>
      <c r="C159" s="414" t="s">
        <v>60</v>
      </c>
      <c r="D159" s="430"/>
      <c r="E159" s="430"/>
      <c r="F159" s="431"/>
      <c r="G159" s="423"/>
      <c r="K159" s="17"/>
    </row>
    <row r="160" spans="2:11" x14ac:dyDescent="0.3">
      <c r="B160" s="395"/>
      <c r="C160" s="386" t="s">
        <v>445</v>
      </c>
      <c r="D160" s="430"/>
      <c r="E160" s="388"/>
      <c r="F160" s="399"/>
      <c r="G160" s="423"/>
      <c r="I160" s="128"/>
      <c r="J160" s="137"/>
      <c r="K160" s="17"/>
    </row>
    <row r="161" spans="2:11" ht="17.25" thickBot="1" x14ac:dyDescent="0.35">
      <c r="B161" s="395"/>
      <c r="C161" s="391" t="s">
        <v>453</v>
      </c>
      <c r="D161" s="427"/>
      <c r="E161" s="405"/>
      <c r="F161" s="406"/>
      <c r="G161" s="423"/>
      <c r="K161" s="17"/>
    </row>
    <row r="162" spans="2:11" ht="17.25" thickBot="1" x14ac:dyDescent="0.35">
      <c r="B162" s="395"/>
      <c r="C162" s="407"/>
      <c r="D162" s="388"/>
      <c r="E162" s="388"/>
      <c r="F162" s="388"/>
      <c r="G162" s="428"/>
      <c r="K162" s="17"/>
    </row>
    <row r="163" spans="2:11" ht="18" thickBot="1" x14ac:dyDescent="0.4">
      <c r="B163" s="395"/>
      <c r="C163" s="913" t="s">
        <v>61</v>
      </c>
      <c r="D163" s="914"/>
      <c r="E163" s="914"/>
      <c r="F163" s="915"/>
      <c r="G163" s="423"/>
      <c r="K163" s="17"/>
    </row>
    <row r="164" spans="2:11" ht="17.25" x14ac:dyDescent="0.35">
      <c r="B164" s="395"/>
      <c r="C164" s="429"/>
      <c r="D164" s="957" t="s">
        <v>48</v>
      </c>
      <c r="E164" s="955"/>
      <c r="F164" s="956"/>
      <c r="G164" s="423"/>
      <c r="K164" s="17"/>
    </row>
    <row r="165" spans="2:11" ht="17.25" x14ac:dyDescent="0.35">
      <c r="B165" s="400"/>
      <c r="C165" s="408"/>
      <c r="D165" s="409" t="s">
        <v>56</v>
      </c>
      <c r="E165" s="409" t="s">
        <v>57</v>
      </c>
      <c r="F165" s="410" t="s">
        <v>58</v>
      </c>
      <c r="G165" s="423"/>
      <c r="K165" s="17"/>
    </row>
    <row r="166" spans="2:11" x14ac:dyDescent="0.3">
      <c r="B166" s="395"/>
      <c r="C166" s="414" t="s">
        <v>62</v>
      </c>
      <c r="D166" s="430"/>
      <c r="E166" s="430"/>
      <c r="F166" s="431"/>
      <c r="G166" s="423"/>
      <c r="K166" s="17"/>
    </row>
    <row r="167" spans="2:11" x14ac:dyDescent="0.3">
      <c r="B167" s="395"/>
      <c r="C167" s="414" t="s">
        <v>63</v>
      </c>
      <c r="D167" s="430"/>
      <c r="E167" s="430"/>
      <c r="F167" s="431"/>
      <c r="G167" s="423"/>
      <c r="K167" s="17"/>
    </row>
    <row r="168" spans="2:11" x14ac:dyDescent="0.3">
      <c r="B168" s="395"/>
      <c r="C168" s="414" t="s">
        <v>64</v>
      </c>
      <c r="D168" s="430"/>
      <c r="E168" s="430"/>
      <c r="F168" s="431"/>
      <c r="G168" s="423"/>
      <c r="K168" s="17"/>
    </row>
    <row r="169" spans="2:11" x14ac:dyDescent="0.3">
      <c r="B169" s="395"/>
      <c r="C169" s="414" t="s">
        <v>422</v>
      </c>
      <c r="D169" s="430"/>
      <c r="E169" s="430"/>
      <c r="F169" s="431"/>
      <c r="G169" s="423"/>
      <c r="K169" s="17"/>
    </row>
    <row r="170" spans="2:11" ht="17.25" thickBot="1" x14ac:dyDescent="0.35">
      <c r="B170" s="395"/>
      <c r="C170" s="391" t="s">
        <v>437</v>
      </c>
      <c r="D170" s="427"/>
      <c r="E170" s="427"/>
      <c r="F170" s="432"/>
      <c r="G170" s="423"/>
      <c r="K170" s="17"/>
    </row>
    <row r="171" spans="2:11" ht="17.25" thickBot="1" x14ac:dyDescent="0.35">
      <c r="B171" s="395"/>
      <c r="C171" s="388"/>
      <c r="D171" s="388"/>
      <c r="E171" s="388"/>
      <c r="F171" s="388"/>
      <c r="G171" s="428"/>
      <c r="K171" s="17"/>
    </row>
    <row r="172" spans="2:11" ht="18" thickBot="1" x14ac:dyDescent="0.4">
      <c r="B172" s="395"/>
      <c r="C172" s="913" t="s">
        <v>65</v>
      </c>
      <c r="D172" s="914"/>
      <c r="E172" s="914"/>
      <c r="F172" s="915"/>
      <c r="G172" s="423"/>
      <c r="K172" s="17"/>
    </row>
    <row r="173" spans="2:11" ht="17.25" x14ac:dyDescent="0.35">
      <c r="B173" s="395"/>
      <c r="C173" s="398"/>
      <c r="D173" s="957" t="s">
        <v>48</v>
      </c>
      <c r="E173" s="955"/>
      <c r="F173" s="956"/>
      <c r="G173" s="423"/>
      <c r="K173" s="17"/>
    </row>
    <row r="174" spans="2:11" ht="17.25" x14ac:dyDescent="0.35">
      <c r="B174" s="400"/>
      <c r="C174" s="395"/>
      <c r="D174" s="409" t="s">
        <v>56</v>
      </c>
      <c r="E174" s="409" t="s">
        <v>57</v>
      </c>
      <c r="F174" s="410" t="s">
        <v>58</v>
      </c>
      <c r="G174" s="423"/>
      <c r="K174" s="17"/>
    </row>
    <row r="175" spans="2:11" x14ac:dyDescent="0.3">
      <c r="B175" s="395"/>
      <c r="C175" s="414" t="s">
        <v>66</v>
      </c>
      <c r="D175" s="430"/>
      <c r="E175" s="430"/>
      <c r="F175" s="431"/>
      <c r="G175" s="423"/>
      <c r="K175" s="17"/>
    </row>
    <row r="176" spans="2:11" x14ac:dyDescent="0.3">
      <c r="B176" s="395"/>
      <c r="C176" s="414" t="s">
        <v>67</v>
      </c>
      <c r="D176" s="430"/>
      <c r="E176" s="430"/>
      <c r="F176" s="431"/>
      <c r="G176" s="423"/>
      <c r="K176" s="17"/>
    </row>
    <row r="177" spans="2:11" x14ac:dyDescent="0.3">
      <c r="B177" s="395"/>
      <c r="C177" s="414" t="s">
        <v>68</v>
      </c>
      <c r="D177" s="430"/>
      <c r="E177" s="430"/>
      <c r="F177" s="431"/>
      <c r="G177" s="423"/>
      <c r="K177" s="17"/>
    </row>
    <row r="178" spans="2:11" x14ac:dyDescent="0.3">
      <c r="B178" s="395"/>
      <c r="C178" s="414" t="s">
        <v>69</v>
      </c>
      <c r="D178" s="430"/>
      <c r="E178" s="430"/>
      <c r="F178" s="431"/>
      <c r="G178" s="423"/>
      <c r="K178" s="17"/>
    </row>
    <row r="179" spans="2:11" x14ac:dyDescent="0.3">
      <c r="B179" s="395"/>
      <c r="C179" s="414" t="s">
        <v>70</v>
      </c>
      <c r="D179" s="430"/>
      <c r="E179" s="430"/>
      <c r="F179" s="431"/>
      <c r="G179" s="423"/>
      <c r="K179" s="17"/>
    </row>
    <row r="180" spans="2:11" x14ac:dyDescent="0.3">
      <c r="B180" s="395"/>
      <c r="C180" s="414" t="s">
        <v>71</v>
      </c>
      <c r="D180" s="430"/>
      <c r="E180" s="430"/>
      <c r="F180" s="431"/>
      <c r="G180" s="423"/>
      <c r="K180" s="17"/>
    </row>
    <row r="181" spans="2:11" x14ac:dyDescent="0.3">
      <c r="B181" s="395"/>
      <c r="C181" s="414" t="s">
        <v>72</v>
      </c>
      <c r="D181" s="430"/>
      <c r="E181" s="430"/>
      <c r="F181" s="431"/>
      <c r="G181" s="423"/>
      <c r="K181" s="17"/>
    </row>
    <row r="182" spans="2:11" x14ac:dyDescent="0.3">
      <c r="B182" s="395"/>
      <c r="C182" s="414" t="s">
        <v>73</v>
      </c>
      <c r="D182" s="430"/>
      <c r="E182" s="430"/>
      <c r="F182" s="431"/>
      <c r="G182" s="423"/>
      <c r="K182" s="17"/>
    </row>
    <row r="183" spans="2:11" x14ac:dyDescent="0.3">
      <c r="B183" s="395"/>
      <c r="C183" s="414" t="s">
        <v>74</v>
      </c>
      <c r="D183" s="430"/>
      <c r="E183" s="430"/>
      <c r="F183" s="431"/>
      <c r="G183" s="423"/>
      <c r="K183" s="17"/>
    </row>
    <row r="184" spans="2:11" x14ac:dyDescent="0.3">
      <c r="B184" s="395"/>
      <c r="C184" s="414" t="s">
        <v>75</v>
      </c>
      <c r="D184" s="430"/>
      <c r="E184" s="430"/>
      <c r="F184" s="431"/>
      <c r="G184" s="423"/>
      <c r="K184" s="17"/>
    </row>
    <row r="185" spans="2:11" ht="17.25" thickBot="1" x14ac:dyDescent="0.35">
      <c r="B185" s="395"/>
      <c r="C185" s="415" t="s">
        <v>76</v>
      </c>
      <c r="D185" s="427"/>
      <c r="E185" s="427"/>
      <c r="F185" s="432"/>
      <c r="G185" s="423"/>
      <c r="K185" s="17"/>
    </row>
    <row r="186" spans="2:11" ht="17.25" thickBot="1" x14ac:dyDescent="0.35">
      <c r="B186" s="395"/>
      <c r="C186" s="388"/>
      <c r="D186" s="388"/>
      <c r="E186" s="388"/>
      <c r="F186" s="388"/>
      <c r="G186" s="428"/>
      <c r="K186" s="17"/>
    </row>
    <row r="187" spans="2:11" ht="18" thickBot="1" x14ac:dyDescent="0.4">
      <c r="B187" s="395"/>
      <c r="C187" s="913" t="s">
        <v>77</v>
      </c>
      <c r="D187" s="914"/>
      <c r="E187" s="914"/>
      <c r="F187" s="915"/>
      <c r="G187" s="423"/>
      <c r="K187" s="17"/>
    </row>
    <row r="188" spans="2:11" ht="17.25" x14ac:dyDescent="0.35">
      <c r="B188" s="395"/>
      <c r="C188" s="398"/>
      <c r="D188" s="957" t="s">
        <v>48</v>
      </c>
      <c r="E188" s="955"/>
      <c r="F188" s="956"/>
      <c r="G188" s="423"/>
      <c r="K188" s="17"/>
    </row>
    <row r="189" spans="2:11" ht="17.25" x14ac:dyDescent="0.35">
      <c r="B189" s="400"/>
      <c r="C189" s="395"/>
      <c r="D189" s="409" t="s">
        <v>56</v>
      </c>
      <c r="E189" s="409" t="s">
        <v>57</v>
      </c>
      <c r="F189" s="410" t="s">
        <v>58</v>
      </c>
      <c r="G189" s="423"/>
      <c r="K189" s="17"/>
    </row>
    <row r="190" spans="2:11" x14ac:dyDescent="0.3">
      <c r="B190" s="395"/>
      <c r="C190" s="414" t="s">
        <v>306</v>
      </c>
      <c r="D190" s="430"/>
      <c r="E190" s="430"/>
      <c r="F190" s="431"/>
      <c r="G190" s="423"/>
      <c r="K190" s="17"/>
    </row>
    <row r="191" spans="2:11" x14ac:dyDescent="0.3">
      <c r="B191" s="395"/>
      <c r="C191" s="414" t="s">
        <v>307</v>
      </c>
      <c r="D191" s="430"/>
      <c r="E191" s="430"/>
      <c r="F191" s="431"/>
      <c r="G191" s="423"/>
      <c r="K191" s="17"/>
    </row>
    <row r="192" spans="2:11" x14ac:dyDescent="0.3">
      <c r="B192" s="395"/>
      <c r="C192" s="414" t="s">
        <v>80</v>
      </c>
      <c r="D192" s="430"/>
      <c r="E192" s="430"/>
      <c r="F192" s="431"/>
      <c r="G192" s="423"/>
      <c r="K192" s="17"/>
    </row>
    <row r="193" spans="2:11" x14ac:dyDescent="0.3">
      <c r="B193" s="395"/>
      <c r="C193" s="414" t="s">
        <v>81</v>
      </c>
      <c r="D193" s="430"/>
      <c r="E193" s="430"/>
      <c r="F193" s="431"/>
      <c r="G193" s="423"/>
      <c r="K193" s="17"/>
    </row>
    <row r="194" spans="2:11" ht="17.25" thickBot="1" x14ac:dyDescent="0.35">
      <c r="B194" s="395"/>
      <c r="C194" s="412" t="s">
        <v>438</v>
      </c>
      <c r="D194" s="427"/>
      <c r="E194" s="427"/>
      <c r="F194" s="432"/>
      <c r="G194" s="423"/>
      <c r="K194" s="17"/>
    </row>
    <row r="195" spans="2:11" ht="17.25" thickBot="1" x14ac:dyDescent="0.35">
      <c r="B195" s="395"/>
      <c r="C195" s="388"/>
      <c r="D195" s="388"/>
      <c r="E195" s="388"/>
      <c r="F195" s="388"/>
      <c r="G195" s="428"/>
      <c r="K195" s="17"/>
    </row>
    <row r="196" spans="2:11" ht="18" thickBot="1" x14ac:dyDescent="0.4">
      <c r="B196" s="395"/>
      <c r="C196" s="913" t="s">
        <v>82</v>
      </c>
      <c r="D196" s="914"/>
      <c r="E196" s="914"/>
      <c r="F196" s="915"/>
      <c r="G196" s="423"/>
      <c r="K196" s="17"/>
    </row>
    <row r="197" spans="2:11" ht="17.25" x14ac:dyDescent="0.35">
      <c r="B197" s="395"/>
      <c r="C197" s="398"/>
      <c r="D197" s="957" t="s">
        <v>48</v>
      </c>
      <c r="E197" s="955"/>
      <c r="F197" s="956"/>
      <c r="G197" s="423"/>
      <c r="K197" s="17"/>
    </row>
    <row r="198" spans="2:11" ht="17.25" x14ac:dyDescent="0.35">
      <c r="B198" s="413"/>
      <c r="C198" s="395"/>
      <c r="D198" s="409" t="s">
        <v>56</v>
      </c>
      <c r="E198" s="409" t="s">
        <v>57</v>
      </c>
      <c r="F198" s="410" t="s">
        <v>58</v>
      </c>
      <c r="G198" s="423"/>
      <c r="K198" s="17"/>
    </row>
    <row r="199" spans="2:11" x14ac:dyDescent="0.3">
      <c r="B199" s="395"/>
      <c r="C199" s="414" t="s">
        <v>83</v>
      </c>
      <c r="D199" s="430"/>
      <c r="E199" s="430"/>
      <c r="F199" s="431"/>
      <c r="G199" s="423"/>
      <c r="K199" s="17"/>
    </row>
    <row r="200" spans="2:11" x14ac:dyDescent="0.3">
      <c r="B200" s="395"/>
      <c r="C200" s="414" t="s">
        <v>84</v>
      </c>
      <c r="D200" s="430"/>
      <c r="E200" s="430"/>
      <c r="F200" s="431"/>
      <c r="G200" s="423"/>
      <c r="K200" s="17"/>
    </row>
    <row r="201" spans="2:11" x14ac:dyDescent="0.3">
      <c r="B201" s="395"/>
      <c r="C201" s="414" t="s">
        <v>85</v>
      </c>
      <c r="D201" s="430"/>
      <c r="E201" s="430"/>
      <c r="F201" s="431"/>
      <c r="G201" s="423"/>
      <c r="K201" s="17"/>
    </row>
    <row r="202" spans="2:11" x14ac:dyDescent="0.3">
      <c r="B202" s="395"/>
      <c r="C202" s="414" t="s">
        <v>86</v>
      </c>
      <c r="D202" s="430"/>
      <c r="E202" s="430"/>
      <c r="F202" s="431"/>
      <c r="G202" s="423"/>
      <c r="K202" s="17"/>
    </row>
    <row r="203" spans="2:11" x14ac:dyDescent="0.3">
      <c r="B203" s="395"/>
      <c r="C203" s="414" t="s">
        <v>87</v>
      </c>
      <c r="D203" s="430"/>
      <c r="E203" s="430"/>
      <c r="F203" s="431"/>
      <c r="G203" s="423"/>
      <c r="K203" s="17"/>
    </row>
    <row r="204" spans="2:11" x14ac:dyDescent="0.3">
      <c r="B204" s="395"/>
      <c r="C204" s="414" t="s">
        <v>88</v>
      </c>
      <c r="D204" s="430"/>
      <c r="E204" s="430"/>
      <c r="F204" s="431"/>
      <c r="G204" s="423"/>
      <c r="K204" s="17"/>
    </row>
    <row r="205" spans="2:11" x14ac:dyDescent="0.3">
      <c r="B205" s="395"/>
      <c r="C205" s="414" t="s">
        <v>89</v>
      </c>
      <c r="D205" s="430"/>
      <c r="E205" s="430"/>
      <c r="F205" s="431"/>
      <c r="G205" s="423"/>
      <c r="K205" s="17"/>
    </row>
    <row r="206" spans="2:11" ht="17.25" thickBot="1" x14ac:dyDescent="0.35">
      <c r="B206" s="395"/>
      <c r="C206" s="415" t="s">
        <v>90</v>
      </c>
      <c r="D206" s="427"/>
      <c r="E206" s="427"/>
      <c r="F206" s="432"/>
      <c r="G206" s="423"/>
      <c r="K206" s="17"/>
    </row>
    <row r="207" spans="2:11" ht="17.25" thickBot="1" x14ac:dyDescent="0.35">
      <c r="B207" s="395"/>
      <c r="C207" s="388"/>
      <c r="D207" s="388"/>
      <c r="E207" s="388"/>
      <c r="F207" s="388"/>
      <c r="G207" s="428"/>
      <c r="K207" s="17"/>
    </row>
    <row r="208" spans="2:11" ht="18" thickBot="1" x14ac:dyDescent="0.4">
      <c r="B208" s="395"/>
      <c r="C208" s="913" t="s">
        <v>91</v>
      </c>
      <c r="D208" s="914"/>
      <c r="E208" s="914"/>
      <c r="F208" s="915"/>
      <c r="G208" s="423"/>
      <c r="K208" s="17"/>
    </row>
    <row r="209" spans="1:11" ht="17.25" x14ac:dyDescent="0.35">
      <c r="B209" s="400"/>
      <c r="C209" s="398"/>
      <c r="D209" s="957" t="s">
        <v>48</v>
      </c>
      <c r="E209" s="955"/>
      <c r="F209" s="956"/>
      <c r="G209" s="428"/>
      <c r="K209" s="17"/>
    </row>
    <row r="210" spans="1:11" x14ac:dyDescent="0.3">
      <c r="B210" s="395"/>
      <c r="C210" s="414" t="s">
        <v>92</v>
      </c>
      <c r="D210" s="944"/>
      <c r="E210" s="944"/>
      <c r="F210" s="945"/>
      <c r="G210" s="428"/>
      <c r="K210" s="17"/>
    </row>
    <row r="211" spans="1:11" x14ac:dyDescent="0.3">
      <c r="B211" s="395"/>
      <c r="C211" s="414" t="s">
        <v>93</v>
      </c>
      <c r="D211" s="944"/>
      <c r="E211" s="944"/>
      <c r="F211" s="945"/>
      <c r="G211" s="428"/>
      <c r="K211" s="17"/>
    </row>
    <row r="212" spans="1:11" x14ac:dyDescent="0.3">
      <c r="B212" s="395"/>
      <c r="C212" s="414" t="s">
        <v>308</v>
      </c>
      <c r="D212" s="944"/>
      <c r="E212" s="944"/>
      <c r="F212" s="945"/>
      <c r="G212" s="428"/>
      <c r="K212" s="17"/>
    </row>
    <row r="213" spans="1:11" x14ac:dyDescent="0.3">
      <c r="B213" s="395"/>
      <c r="C213" s="414" t="s">
        <v>94</v>
      </c>
      <c r="D213" s="960" t="str">
        <f>IF(D210+D212=0,"",D210+D212)</f>
        <v/>
      </c>
      <c r="E213" s="960"/>
      <c r="F213" s="961"/>
      <c r="G213" s="428"/>
      <c r="K213" s="17"/>
    </row>
    <row r="214" spans="1:11" x14ac:dyDescent="0.3">
      <c r="B214" s="395"/>
      <c r="C214" s="414" t="s">
        <v>95</v>
      </c>
      <c r="D214" s="944"/>
      <c r="E214" s="944"/>
      <c r="F214" s="945"/>
      <c r="G214" s="428"/>
      <c r="K214" s="17"/>
    </row>
    <row r="215" spans="1:11" x14ac:dyDescent="0.3">
      <c r="B215" s="395"/>
      <c r="C215" s="414" t="s">
        <v>96</v>
      </c>
      <c r="D215" s="944"/>
      <c r="E215" s="944"/>
      <c r="F215" s="945"/>
      <c r="G215" s="428"/>
      <c r="K215" s="17"/>
    </row>
    <row r="216" spans="1:11" x14ac:dyDescent="0.3">
      <c r="B216" s="395"/>
      <c r="C216" s="414" t="s">
        <v>97</v>
      </c>
      <c r="D216" s="944"/>
      <c r="E216" s="944"/>
      <c r="F216" s="945"/>
      <c r="G216" s="428"/>
      <c r="K216" s="17"/>
    </row>
    <row r="217" spans="1:11" x14ac:dyDescent="0.3">
      <c r="B217" s="395"/>
      <c r="C217" s="414" t="s">
        <v>308</v>
      </c>
      <c r="D217" s="944"/>
      <c r="E217" s="944"/>
      <c r="F217" s="945"/>
      <c r="G217" s="428"/>
      <c r="K217" s="17"/>
    </row>
    <row r="218" spans="1:11" ht="17.25" thickBot="1" x14ac:dyDescent="0.35">
      <c r="B218" s="395"/>
      <c r="C218" s="415" t="s">
        <v>94</v>
      </c>
      <c r="D218" s="958" t="str">
        <f>IF(D215+D217=0,"",D215+D217)</f>
        <v/>
      </c>
      <c r="E218" s="958"/>
      <c r="F218" s="959"/>
      <c r="G218" s="428"/>
      <c r="K218" s="17"/>
    </row>
    <row r="219" spans="1:11" ht="17.25" thickBot="1" x14ac:dyDescent="0.35">
      <c r="B219" s="416"/>
      <c r="C219" s="405"/>
      <c r="D219" s="405"/>
      <c r="E219" s="405"/>
      <c r="F219" s="405"/>
      <c r="G219" s="433"/>
      <c r="K219" s="17"/>
    </row>
    <row r="220" spans="1:11" x14ac:dyDescent="0.3">
      <c r="K220" s="17"/>
    </row>
    <row r="221" spans="1:11" s="16" customFormat="1" x14ac:dyDescent="0.3">
      <c r="A221" s="17"/>
      <c r="B221" s="17"/>
      <c r="C221" s="17"/>
      <c r="D221" s="17"/>
      <c r="E221" s="17"/>
      <c r="F221" s="17"/>
      <c r="G221" s="17"/>
      <c r="H221" s="17"/>
      <c r="I221" s="17"/>
      <c r="J221" s="17"/>
      <c r="K221"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69">
    <mergeCell ref="D148:F148"/>
    <mergeCell ref="B151:G151"/>
    <mergeCell ref="D145:F145"/>
    <mergeCell ref="D146:F146"/>
    <mergeCell ref="D147:F147"/>
    <mergeCell ref="D140:F140"/>
    <mergeCell ref="D141:F141"/>
    <mergeCell ref="D142:F142"/>
    <mergeCell ref="D143:F143"/>
    <mergeCell ref="D144:F144"/>
    <mergeCell ref="C68:F68"/>
    <mergeCell ref="C83:F83"/>
    <mergeCell ref="C93:F93"/>
    <mergeCell ref="C102:F102"/>
    <mergeCell ref="C117:F117"/>
    <mergeCell ref="D69:F69"/>
    <mergeCell ref="D70:F70"/>
    <mergeCell ref="D71:F71"/>
    <mergeCell ref="H4:I4"/>
    <mergeCell ref="C13:F13"/>
    <mergeCell ref="B2:C2"/>
    <mergeCell ref="C23:F23"/>
    <mergeCell ref="C32:F32"/>
    <mergeCell ref="D217:F217"/>
    <mergeCell ref="D218:F218"/>
    <mergeCell ref="D214:F214"/>
    <mergeCell ref="D213:F213"/>
    <mergeCell ref="D188:F188"/>
    <mergeCell ref="D197:F197"/>
    <mergeCell ref="D209:F209"/>
    <mergeCell ref="D210:F210"/>
    <mergeCell ref="D211:F211"/>
    <mergeCell ref="D212:F212"/>
    <mergeCell ref="D215:F215"/>
    <mergeCell ref="D216:F216"/>
    <mergeCell ref="C187:F187"/>
    <mergeCell ref="C196:F196"/>
    <mergeCell ref="C208:F208"/>
    <mergeCell ref="C153:F153"/>
    <mergeCell ref="C163:F163"/>
    <mergeCell ref="C172:F172"/>
    <mergeCell ref="D173:F173"/>
    <mergeCell ref="D154:F154"/>
    <mergeCell ref="D164:F164"/>
    <mergeCell ref="D139:F139"/>
    <mergeCell ref="D72:F72"/>
    <mergeCell ref="D73:F73"/>
    <mergeCell ref="D76:F76"/>
    <mergeCell ref="D77:F77"/>
    <mergeCell ref="D75:F75"/>
    <mergeCell ref="D127:F127"/>
    <mergeCell ref="C126:F126"/>
    <mergeCell ref="C138:F138"/>
    <mergeCell ref="D84:F84"/>
    <mergeCell ref="D94:F94"/>
    <mergeCell ref="D103:F103"/>
    <mergeCell ref="D118:F118"/>
    <mergeCell ref="D74:F74"/>
    <mergeCell ref="D78:F78"/>
    <mergeCell ref="B81:G81"/>
    <mergeCell ref="D57:F57"/>
    <mergeCell ref="E2:F2"/>
    <mergeCell ref="D14:F14"/>
    <mergeCell ref="D24:F24"/>
    <mergeCell ref="D33:F33"/>
    <mergeCell ref="D48:F48"/>
    <mergeCell ref="B11:G11"/>
    <mergeCell ref="C47:F47"/>
    <mergeCell ref="C56:F56"/>
  </mergeCells>
  <phoneticPr fontId="26" type="noConversion"/>
  <conditionalFormatting sqref="D26:F30 D35:F45 D50:F54 D59:F66 D20:D21 D16:F19 D70:D78 D140:D141 D86:D91 D96:F100 D105:D111 D120:F121 D129:F136 D144:D146">
    <cfRule type="expression" dxfId="53" priority="6" stopIfTrue="1">
      <formula>$I$5 = "Central Air Conditioner"</formula>
    </cfRule>
  </conditionalFormatting>
  <conditionalFormatting sqref="E86:F89 E105:F115 D112:D115 D122:F124 D142:D143 D147:D148">
    <cfRule type="expression" dxfId="52" priority="18" stopIfTrue="1">
      <formula>OR($I$5 = "Central Air Conditioner", AND($I$6 = "Single-Speed", $I$7 = "Fixed Speed"))</formula>
    </cfRule>
  </conditionalFormatting>
  <conditionalFormatting sqref="D166:F170 D175:F185 D190:F194 D199:F206 D210:D218 E156:F159 D156:D161">
    <cfRule type="expression" dxfId="51" priority="26" stopIfTrue="1">
      <formula>OR($I$5 = "Central Air Conditioner", $I$6 &lt;&gt; "Variable-Speed")</formula>
    </cfRule>
  </conditionalFormatting>
  <hyperlinks>
    <hyperlink ref="E2" location="Instructions!A1" display="Back to Instructions" xr:uid="{00000000-0004-0000-0F00-000000000000}"/>
    <hyperlink ref="E2:F2" location="Instructions!A1" display="Back to Instructions tab" xr:uid="{00000000-0004-0000-0F00-000001000000}"/>
  </hyperlinks>
  <pageMargins left="0.7" right="0.7" top="0.75" bottom="0.75" header="0.3" footer="0.3"/>
  <pageSetup orientation="portrait" horizontalDpi="200" verticalDpi="2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0070C0"/>
  </sheetPr>
  <dimension ref="A1:K224"/>
  <sheetViews>
    <sheetView showGridLines="0" showZeros="0" zoomScale="80" zoomScaleNormal="80" workbookViewId="0">
      <selection activeCell="E2" sqref="E2:F2"/>
    </sheetView>
  </sheetViews>
  <sheetFormatPr defaultColWidth="9.140625" defaultRowHeight="16.5" x14ac:dyDescent="0.3"/>
  <cols>
    <col min="1" max="1" width="5.5703125" style="5" customWidth="1"/>
    <col min="2" max="2" width="33" style="5" customWidth="1"/>
    <col min="3" max="3" width="68.85546875" style="5" customWidth="1"/>
    <col min="4" max="4" width="9.140625" style="5"/>
    <col min="5" max="5" width="10.28515625" style="5" customWidth="1"/>
    <col min="6" max="6" width="10.5703125" style="5" customWidth="1"/>
    <col min="7" max="7" width="6.42578125" style="5" customWidth="1"/>
    <col min="8" max="8" width="24.7109375" style="5" customWidth="1"/>
    <col min="9" max="9" width="22.42578125" style="5" customWidth="1"/>
    <col min="10" max="10" width="6.28515625" style="110" customWidth="1"/>
    <col min="11" max="11" width="5" style="5" customWidth="1"/>
    <col min="12" max="16384" width="9.140625" style="5"/>
  </cols>
  <sheetData>
    <row r="1" spans="2:11" ht="17.25" thickBot="1" x14ac:dyDescent="0.35">
      <c r="J1" s="123"/>
      <c r="K1" s="17"/>
    </row>
    <row r="2" spans="2:11" s="1" customFormat="1" ht="18" thickBot="1" x14ac:dyDescent="0.35">
      <c r="B2" s="805" t="s">
        <v>622</v>
      </c>
      <c r="C2" s="806"/>
      <c r="E2" s="840" t="s">
        <v>553</v>
      </c>
      <c r="F2" s="840"/>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H2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7.25" thickBot="1" x14ac:dyDescent="0.35">
      <c r="B8" s="372" t="s">
        <v>143</v>
      </c>
      <c r="C8" s="373" t="str">
        <f>'Version Control'!C8</f>
        <v>[MM/DD/YYYY]</v>
      </c>
      <c r="G8" s="12"/>
      <c r="H8" s="8"/>
      <c r="J8" s="124"/>
      <c r="K8" s="125"/>
    </row>
    <row r="9" spans="2:11" s="1" customFormat="1" x14ac:dyDescent="0.3">
      <c r="B9" s="4"/>
      <c r="C9" s="232"/>
      <c r="G9" s="12"/>
      <c r="H9" s="8"/>
      <c r="J9" s="124"/>
      <c r="K9" s="125"/>
    </row>
    <row r="10" spans="2:11" s="1" customFormat="1" x14ac:dyDescent="0.3">
      <c r="B10" s="4"/>
      <c r="C10" s="232"/>
      <c r="G10" s="12"/>
      <c r="H10" s="8"/>
      <c r="J10" s="124"/>
      <c r="K10" s="125"/>
    </row>
    <row r="11" spans="2:11" s="1" customFormat="1" x14ac:dyDescent="0.3">
      <c r="B11" s="112"/>
      <c r="C11" s="447" t="s">
        <v>486</v>
      </c>
      <c r="D11" s="508"/>
      <c r="E11" s="451"/>
      <c r="F11" s="451"/>
      <c r="G11" s="483"/>
      <c r="H11" s="5"/>
      <c r="J11" s="124"/>
      <c r="K11" s="125"/>
    </row>
    <row r="12" spans="2:11" s="159" customFormat="1" x14ac:dyDescent="0.3">
      <c r="B12" s="509"/>
      <c r="C12" s="510" t="s">
        <v>131</v>
      </c>
      <c r="D12" s="511"/>
      <c r="E12" s="509"/>
      <c r="F12" s="920"/>
      <c r="G12" s="920"/>
      <c r="J12" s="160"/>
      <c r="K12" s="161"/>
    </row>
    <row r="13" spans="2:11" s="6" customFormat="1" ht="18" thickBot="1" x14ac:dyDescent="0.4">
      <c r="B13" s="475"/>
      <c r="C13" s="475"/>
      <c r="D13" s="475"/>
      <c r="E13" s="475"/>
      <c r="F13" s="475"/>
      <c r="G13" s="475"/>
      <c r="J13" s="111"/>
      <c r="K13" s="18"/>
    </row>
    <row r="14" spans="2:11" ht="18.75" thickBot="1" x14ac:dyDescent="0.4">
      <c r="B14" s="939" t="s">
        <v>429</v>
      </c>
      <c r="C14" s="940"/>
      <c r="D14" s="940"/>
      <c r="E14" s="940"/>
      <c r="F14" s="940"/>
      <c r="G14" s="941"/>
      <c r="K14" s="17"/>
    </row>
    <row r="15" spans="2:11" ht="18" thickBot="1" x14ac:dyDescent="0.4">
      <c r="B15" s="383"/>
      <c r="C15" s="421"/>
      <c r="D15" s="421"/>
      <c r="E15" s="421"/>
      <c r="F15" s="421"/>
      <c r="G15" s="422"/>
      <c r="K15" s="17"/>
    </row>
    <row r="16" spans="2:11" ht="18" thickBot="1" x14ac:dyDescent="0.4">
      <c r="B16" s="400"/>
      <c r="C16" s="913" t="s">
        <v>55</v>
      </c>
      <c r="D16" s="914"/>
      <c r="E16" s="914"/>
      <c r="F16" s="915"/>
      <c r="G16" s="428"/>
      <c r="K16" s="17"/>
    </row>
    <row r="17" spans="2:11" ht="17.25" x14ac:dyDescent="0.35">
      <c r="B17" s="395"/>
      <c r="C17" s="398"/>
      <c r="D17" s="957" t="s">
        <v>48</v>
      </c>
      <c r="E17" s="955"/>
      <c r="F17" s="956"/>
      <c r="G17" s="428"/>
      <c r="I17" s="127"/>
      <c r="J17" s="136"/>
      <c r="K17" s="17"/>
    </row>
    <row r="18" spans="2:11" ht="17.25" x14ac:dyDescent="0.35">
      <c r="B18" s="400"/>
      <c r="C18" s="395"/>
      <c r="D18" s="409" t="s">
        <v>56</v>
      </c>
      <c r="E18" s="409" t="s">
        <v>57</v>
      </c>
      <c r="F18" s="410" t="s">
        <v>58</v>
      </c>
      <c r="G18" s="428"/>
      <c r="I18" s="127"/>
      <c r="J18" s="136"/>
      <c r="K18" s="17"/>
    </row>
    <row r="19" spans="2:11" x14ac:dyDescent="0.3">
      <c r="B19" s="395"/>
      <c r="C19" s="386" t="s">
        <v>442</v>
      </c>
      <c r="D19" s="403"/>
      <c r="E19" s="403"/>
      <c r="F19" s="390"/>
      <c r="G19" s="423"/>
      <c r="I19" s="128"/>
      <c r="J19" s="137"/>
      <c r="K19" s="17"/>
    </row>
    <row r="20" spans="2:11" x14ac:dyDescent="0.3">
      <c r="B20" s="395"/>
      <c r="C20" s="386" t="s">
        <v>443</v>
      </c>
      <c r="D20" s="403"/>
      <c r="E20" s="403"/>
      <c r="F20" s="390"/>
      <c r="G20" s="423"/>
      <c r="I20" s="128"/>
      <c r="J20" s="137"/>
      <c r="K20" s="17"/>
    </row>
    <row r="21" spans="2:11" x14ac:dyDescent="0.3">
      <c r="B21" s="395"/>
      <c r="C21" s="386" t="s">
        <v>59</v>
      </c>
      <c r="D21" s="403"/>
      <c r="E21" s="403"/>
      <c r="F21" s="390"/>
      <c r="G21" s="423"/>
      <c r="I21" s="128"/>
      <c r="J21" s="137"/>
      <c r="K21" s="17"/>
    </row>
    <row r="22" spans="2:11" x14ac:dyDescent="0.3">
      <c r="B22" s="395"/>
      <c r="C22" s="386" t="s">
        <v>60</v>
      </c>
      <c r="D22" s="403"/>
      <c r="E22" s="403"/>
      <c r="F22" s="390"/>
      <c r="G22" s="423"/>
      <c r="I22" s="128"/>
      <c r="J22" s="137"/>
      <c r="K22" s="17"/>
    </row>
    <row r="23" spans="2:11" x14ac:dyDescent="0.3">
      <c r="B23" s="395"/>
      <c r="C23" s="386" t="s">
        <v>445</v>
      </c>
      <c r="D23" s="403"/>
      <c r="E23" s="388"/>
      <c r="F23" s="399"/>
      <c r="G23" s="423"/>
      <c r="I23" s="128"/>
      <c r="J23" s="137"/>
      <c r="K23" s="17"/>
    </row>
    <row r="24" spans="2:11" ht="17.25" thickBot="1" x14ac:dyDescent="0.35">
      <c r="B24" s="395"/>
      <c r="C24" s="391" t="s">
        <v>453</v>
      </c>
      <c r="D24" s="404"/>
      <c r="E24" s="405"/>
      <c r="F24" s="406"/>
      <c r="G24" s="423"/>
      <c r="I24" s="128"/>
      <c r="J24" s="137"/>
      <c r="K24" s="17"/>
    </row>
    <row r="25" spans="2:11" ht="17.25" thickBot="1" x14ac:dyDescent="0.35">
      <c r="B25" s="395"/>
      <c r="C25" s="407"/>
      <c r="D25" s="388"/>
      <c r="E25" s="388"/>
      <c r="F25" s="388"/>
      <c r="G25" s="428"/>
      <c r="I25" s="128"/>
      <c r="J25" s="137"/>
      <c r="K25" s="17"/>
    </row>
    <row r="26" spans="2:11" ht="18" thickBot="1" x14ac:dyDescent="0.4">
      <c r="B26" s="395"/>
      <c r="C26" s="913" t="s">
        <v>61</v>
      </c>
      <c r="D26" s="914"/>
      <c r="E26" s="914"/>
      <c r="F26" s="915"/>
      <c r="G26" s="423"/>
      <c r="I26" s="128"/>
      <c r="J26" s="137"/>
      <c r="K26" s="17"/>
    </row>
    <row r="27" spans="2:11" ht="17.25" x14ac:dyDescent="0.35">
      <c r="B27" s="395"/>
      <c r="C27" s="429"/>
      <c r="D27" s="957" t="s">
        <v>48</v>
      </c>
      <c r="E27" s="955"/>
      <c r="F27" s="956"/>
      <c r="G27" s="423"/>
      <c r="I27" s="128"/>
      <c r="J27" s="137"/>
      <c r="K27" s="17"/>
    </row>
    <row r="28" spans="2:11" ht="17.25" x14ac:dyDescent="0.35">
      <c r="B28" s="400"/>
      <c r="C28" s="408"/>
      <c r="D28" s="409" t="s">
        <v>56</v>
      </c>
      <c r="E28" s="409" t="s">
        <v>57</v>
      </c>
      <c r="F28" s="410" t="s">
        <v>58</v>
      </c>
      <c r="G28" s="423"/>
      <c r="I28" s="128"/>
      <c r="J28" s="137"/>
      <c r="K28" s="17"/>
    </row>
    <row r="29" spans="2:11" x14ac:dyDescent="0.3">
      <c r="B29" s="395"/>
      <c r="C29" s="386" t="s">
        <v>62</v>
      </c>
      <c r="D29" s="403"/>
      <c r="E29" s="403"/>
      <c r="F29" s="390"/>
      <c r="G29" s="423"/>
      <c r="I29" s="128"/>
      <c r="J29" s="137"/>
      <c r="K29" s="17"/>
    </row>
    <row r="30" spans="2:11" x14ac:dyDescent="0.3">
      <c r="B30" s="395"/>
      <c r="C30" s="386" t="s">
        <v>63</v>
      </c>
      <c r="D30" s="403"/>
      <c r="E30" s="403"/>
      <c r="F30" s="390"/>
      <c r="G30" s="423"/>
      <c r="I30" s="128"/>
      <c r="J30" s="137"/>
      <c r="K30" s="17"/>
    </row>
    <row r="31" spans="2:11" x14ac:dyDescent="0.3">
      <c r="B31" s="395"/>
      <c r="C31" s="386" t="s">
        <v>64</v>
      </c>
      <c r="D31" s="403"/>
      <c r="E31" s="403"/>
      <c r="F31" s="390"/>
      <c r="G31" s="423"/>
      <c r="I31" s="128"/>
      <c r="J31" s="137"/>
      <c r="K31" s="17"/>
    </row>
    <row r="32" spans="2:11" x14ac:dyDescent="0.3">
      <c r="B32" s="395"/>
      <c r="C32" s="386" t="s">
        <v>422</v>
      </c>
      <c r="D32" s="403"/>
      <c r="E32" s="403"/>
      <c r="F32" s="390"/>
      <c r="G32" s="423"/>
      <c r="I32" s="128"/>
      <c r="J32" s="137"/>
      <c r="K32" s="17"/>
    </row>
    <row r="33" spans="2:11" ht="17.25" thickBot="1" x14ac:dyDescent="0.35">
      <c r="B33" s="395"/>
      <c r="C33" s="391" t="s">
        <v>437</v>
      </c>
      <c r="D33" s="404"/>
      <c r="E33" s="404"/>
      <c r="F33" s="392"/>
      <c r="G33" s="423"/>
      <c r="I33" s="128"/>
      <c r="J33" s="137"/>
      <c r="K33" s="17"/>
    </row>
    <row r="34" spans="2:11" ht="17.25" thickBot="1" x14ac:dyDescent="0.35">
      <c r="B34" s="395"/>
      <c r="C34" s="388"/>
      <c r="D34" s="388"/>
      <c r="E34" s="388"/>
      <c r="F34" s="388"/>
      <c r="G34" s="428"/>
      <c r="I34" s="128"/>
      <c r="J34" s="137"/>
      <c r="K34" s="17"/>
    </row>
    <row r="35" spans="2:11" ht="18" thickBot="1" x14ac:dyDescent="0.4">
      <c r="B35" s="395"/>
      <c r="C35" s="913" t="s">
        <v>65</v>
      </c>
      <c r="D35" s="914"/>
      <c r="E35" s="914"/>
      <c r="F35" s="915"/>
      <c r="G35" s="423"/>
      <c r="I35" s="128"/>
      <c r="J35" s="137"/>
      <c r="K35" s="17"/>
    </row>
    <row r="36" spans="2:11" ht="17.25" x14ac:dyDescent="0.35">
      <c r="B36" s="395"/>
      <c r="C36" s="398"/>
      <c r="D36" s="957" t="s">
        <v>48</v>
      </c>
      <c r="E36" s="955"/>
      <c r="F36" s="956"/>
      <c r="G36" s="423"/>
      <c r="I36" s="128"/>
      <c r="J36" s="137"/>
      <c r="K36" s="17"/>
    </row>
    <row r="37" spans="2:11" ht="17.25" x14ac:dyDescent="0.35">
      <c r="B37" s="400"/>
      <c r="C37" s="395"/>
      <c r="D37" s="409" t="s">
        <v>56</v>
      </c>
      <c r="E37" s="409" t="s">
        <v>57</v>
      </c>
      <c r="F37" s="410" t="s">
        <v>58</v>
      </c>
      <c r="G37" s="423"/>
      <c r="I37" s="128"/>
      <c r="J37" s="137"/>
      <c r="K37" s="17"/>
    </row>
    <row r="38" spans="2:11" x14ac:dyDescent="0.3">
      <c r="B38" s="395"/>
      <c r="C38" s="386" t="s">
        <v>66</v>
      </c>
      <c r="D38" s="403"/>
      <c r="E38" s="403"/>
      <c r="F38" s="390"/>
      <c r="G38" s="423"/>
      <c r="I38" s="128"/>
      <c r="J38" s="137"/>
      <c r="K38" s="17"/>
    </row>
    <row r="39" spans="2:11" x14ac:dyDescent="0.3">
      <c r="B39" s="395"/>
      <c r="C39" s="386" t="s">
        <v>67</v>
      </c>
      <c r="D39" s="403"/>
      <c r="E39" s="403"/>
      <c r="F39" s="390"/>
      <c r="G39" s="423"/>
      <c r="I39" s="128"/>
      <c r="J39" s="137"/>
      <c r="K39" s="17"/>
    </row>
    <row r="40" spans="2:11" x14ac:dyDescent="0.3">
      <c r="B40" s="395"/>
      <c r="C40" s="386" t="s">
        <v>68</v>
      </c>
      <c r="D40" s="403"/>
      <c r="E40" s="403"/>
      <c r="F40" s="390"/>
      <c r="G40" s="423"/>
      <c r="I40" s="128"/>
      <c r="J40" s="137"/>
      <c r="K40" s="17"/>
    </row>
    <row r="41" spans="2:11" x14ac:dyDescent="0.3">
      <c r="B41" s="395"/>
      <c r="C41" s="386" t="s">
        <v>69</v>
      </c>
      <c r="D41" s="403"/>
      <c r="E41" s="403"/>
      <c r="F41" s="390"/>
      <c r="G41" s="423"/>
      <c r="I41" s="128"/>
      <c r="J41" s="137"/>
      <c r="K41" s="17"/>
    </row>
    <row r="42" spans="2:11" x14ac:dyDescent="0.3">
      <c r="B42" s="395"/>
      <c r="C42" s="386" t="s">
        <v>70</v>
      </c>
      <c r="D42" s="403"/>
      <c r="E42" s="403"/>
      <c r="F42" s="390"/>
      <c r="G42" s="423"/>
      <c r="I42" s="128"/>
      <c r="J42" s="137"/>
      <c r="K42" s="17"/>
    </row>
    <row r="43" spans="2:11" x14ac:dyDescent="0.3">
      <c r="B43" s="395"/>
      <c r="C43" s="386" t="s">
        <v>71</v>
      </c>
      <c r="D43" s="403"/>
      <c r="E43" s="403"/>
      <c r="F43" s="390"/>
      <c r="G43" s="423"/>
      <c r="I43" s="128"/>
      <c r="J43" s="137"/>
      <c r="K43" s="17"/>
    </row>
    <row r="44" spans="2:11" x14ac:dyDescent="0.3">
      <c r="B44" s="395"/>
      <c r="C44" s="386" t="s">
        <v>72</v>
      </c>
      <c r="D44" s="403"/>
      <c r="E44" s="403"/>
      <c r="F44" s="390"/>
      <c r="G44" s="423"/>
      <c r="I44" s="128"/>
      <c r="J44" s="137"/>
      <c r="K44" s="17"/>
    </row>
    <row r="45" spans="2:11" x14ac:dyDescent="0.3">
      <c r="B45" s="395"/>
      <c r="C45" s="386" t="s">
        <v>73</v>
      </c>
      <c r="D45" s="403"/>
      <c r="E45" s="403"/>
      <c r="F45" s="390"/>
      <c r="G45" s="423"/>
      <c r="I45" s="128"/>
      <c r="J45" s="137"/>
      <c r="K45" s="17"/>
    </row>
    <row r="46" spans="2:11" x14ac:dyDescent="0.3">
      <c r="B46" s="395"/>
      <c r="C46" s="386" t="s">
        <v>74</v>
      </c>
      <c r="D46" s="403"/>
      <c r="E46" s="403"/>
      <c r="F46" s="390"/>
      <c r="G46" s="423"/>
      <c r="I46" s="128"/>
      <c r="J46" s="137"/>
      <c r="K46" s="17"/>
    </row>
    <row r="47" spans="2:11" x14ac:dyDescent="0.3">
      <c r="B47" s="395"/>
      <c r="C47" s="386" t="s">
        <v>75</v>
      </c>
      <c r="D47" s="403"/>
      <c r="E47" s="403"/>
      <c r="F47" s="390"/>
      <c r="G47" s="423"/>
      <c r="I47" s="128"/>
      <c r="J47" s="137"/>
      <c r="K47" s="17"/>
    </row>
    <row r="48" spans="2:11" ht="17.25" thickBot="1" x14ac:dyDescent="0.35">
      <c r="B48" s="395"/>
      <c r="C48" s="391" t="s">
        <v>76</v>
      </c>
      <c r="D48" s="404"/>
      <c r="E48" s="404"/>
      <c r="F48" s="392"/>
      <c r="G48" s="423"/>
      <c r="I48" s="128"/>
      <c r="J48" s="137"/>
      <c r="K48" s="17"/>
    </row>
    <row r="49" spans="2:11" ht="17.25" thickBot="1" x14ac:dyDescent="0.35">
      <c r="B49" s="395"/>
      <c r="C49" s="388"/>
      <c r="D49" s="388"/>
      <c r="E49" s="388"/>
      <c r="F49" s="388"/>
      <c r="G49" s="428"/>
      <c r="I49" s="128"/>
      <c r="J49" s="137"/>
      <c r="K49" s="17"/>
    </row>
    <row r="50" spans="2:11" ht="18" thickBot="1" x14ac:dyDescent="0.4">
      <c r="B50" s="395"/>
      <c r="C50" s="913" t="s">
        <v>77</v>
      </c>
      <c r="D50" s="914"/>
      <c r="E50" s="914"/>
      <c r="F50" s="915"/>
      <c r="G50" s="423"/>
      <c r="I50" s="128"/>
      <c r="J50" s="137"/>
      <c r="K50" s="17"/>
    </row>
    <row r="51" spans="2:11" ht="17.25" x14ac:dyDescent="0.35">
      <c r="B51" s="395"/>
      <c r="C51" s="398"/>
      <c r="D51" s="957" t="s">
        <v>48</v>
      </c>
      <c r="E51" s="955"/>
      <c r="F51" s="956"/>
      <c r="G51" s="423"/>
      <c r="I51" s="128"/>
      <c r="J51" s="137"/>
      <c r="K51" s="17"/>
    </row>
    <row r="52" spans="2:11" ht="17.25" x14ac:dyDescent="0.35">
      <c r="B52" s="400"/>
      <c r="C52" s="395"/>
      <c r="D52" s="409" t="s">
        <v>56</v>
      </c>
      <c r="E52" s="409" t="s">
        <v>57</v>
      </c>
      <c r="F52" s="410" t="s">
        <v>58</v>
      </c>
      <c r="G52" s="423"/>
      <c r="I52" s="128"/>
      <c r="J52" s="137"/>
      <c r="K52" s="17"/>
    </row>
    <row r="53" spans="2:11" x14ac:dyDescent="0.3">
      <c r="B53" s="395"/>
      <c r="C53" s="386" t="s">
        <v>78</v>
      </c>
      <c r="D53" s="403"/>
      <c r="E53" s="403"/>
      <c r="F53" s="390"/>
      <c r="G53" s="423"/>
      <c r="I53" s="128"/>
      <c r="J53" s="137"/>
      <c r="K53" s="17"/>
    </row>
    <row r="54" spans="2:11" x14ac:dyDescent="0.3">
      <c r="B54" s="395"/>
      <c r="C54" s="386" t="s">
        <v>79</v>
      </c>
      <c r="D54" s="403"/>
      <c r="E54" s="403"/>
      <c r="F54" s="390"/>
      <c r="G54" s="423"/>
      <c r="I54" s="128"/>
      <c r="J54" s="137"/>
      <c r="K54" s="17"/>
    </row>
    <row r="55" spans="2:11" x14ac:dyDescent="0.3">
      <c r="B55" s="395"/>
      <c r="C55" s="386" t="s">
        <v>80</v>
      </c>
      <c r="D55" s="403"/>
      <c r="E55" s="403"/>
      <c r="F55" s="390"/>
      <c r="G55" s="423"/>
      <c r="I55" s="128"/>
      <c r="J55" s="137"/>
      <c r="K55" s="17"/>
    </row>
    <row r="56" spans="2:11" x14ac:dyDescent="0.3">
      <c r="B56" s="395"/>
      <c r="C56" s="386" t="s">
        <v>81</v>
      </c>
      <c r="D56" s="403"/>
      <c r="E56" s="403"/>
      <c r="F56" s="390"/>
      <c r="G56" s="423"/>
      <c r="I56" s="128"/>
      <c r="J56" s="137"/>
      <c r="K56" s="17"/>
    </row>
    <row r="57" spans="2:11" ht="17.25" thickBot="1" x14ac:dyDescent="0.35">
      <c r="B57" s="395"/>
      <c r="C57" s="412" t="s">
        <v>438</v>
      </c>
      <c r="D57" s="404"/>
      <c r="E57" s="404"/>
      <c r="F57" s="392"/>
      <c r="G57" s="423"/>
      <c r="I57" s="128"/>
      <c r="J57" s="137"/>
      <c r="K57" s="17"/>
    </row>
    <row r="58" spans="2:11" ht="17.25" thickBot="1" x14ac:dyDescent="0.35">
      <c r="B58" s="395"/>
      <c r="C58" s="388"/>
      <c r="D58" s="388"/>
      <c r="E58" s="388"/>
      <c r="F58" s="388"/>
      <c r="G58" s="428"/>
      <c r="I58" s="128"/>
      <c r="J58" s="137"/>
      <c r="K58" s="17"/>
    </row>
    <row r="59" spans="2:11" ht="18" thickBot="1" x14ac:dyDescent="0.4">
      <c r="B59" s="395"/>
      <c r="C59" s="913" t="s">
        <v>82</v>
      </c>
      <c r="D59" s="914"/>
      <c r="E59" s="914"/>
      <c r="F59" s="915"/>
      <c r="G59" s="423"/>
      <c r="I59" s="128"/>
      <c r="J59" s="137"/>
      <c r="K59" s="17"/>
    </row>
    <row r="60" spans="2:11" ht="17.25" x14ac:dyDescent="0.35">
      <c r="B60" s="395"/>
      <c r="C60" s="398"/>
      <c r="D60" s="957" t="s">
        <v>48</v>
      </c>
      <c r="E60" s="955"/>
      <c r="F60" s="956"/>
      <c r="G60" s="423"/>
      <c r="I60" s="128"/>
      <c r="J60" s="137"/>
      <c r="K60" s="17"/>
    </row>
    <row r="61" spans="2:11" ht="17.25" x14ac:dyDescent="0.35">
      <c r="B61" s="413"/>
      <c r="C61" s="395"/>
      <c r="D61" s="409" t="s">
        <v>56</v>
      </c>
      <c r="E61" s="409" t="s">
        <v>57</v>
      </c>
      <c r="F61" s="410" t="s">
        <v>58</v>
      </c>
      <c r="G61" s="423"/>
      <c r="I61" s="128"/>
      <c r="J61" s="137"/>
      <c r="K61" s="17"/>
    </row>
    <row r="62" spans="2:11" x14ac:dyDescent="0.3">
      <c r="B62" s="395"/>
      <c r="C62" s="386" t="s">
        <v>83</v>
      </c>
      <c r="D62" s="403"/>
      <c r="E62" s="403"/>
      <c r="F62" s="390"/>
      <c r="G62" s="423"/>
      <c r="I62" s="128"/>
      <c r="J62" s="137"/>
      <c r="K62" s="17"/>
    </row>
    <row r="63" spans="2:11" x14ac:dyDescent="0.3">
      <c r="B63" s="395"/>
      <c r="C63" s="386" t="s">
        <v>84</v>
      </c>
      <c r="D63" s="403"/>
      <c r="E63" s="403"/>
      <c r="F63" s="390"/>
      <c r="G63" s="423"/>
      <c r="I63" s="128"/>
      <c r="J63" s="137"/>
      <c r="K63" s="17"/>
    </row>
    <row r="64" spans="2:11" x14ac:dyDescent="0.3">
      <c r="B64" s="395"/>
      <c r="C64" s="386" t="s">
        <v>85</v>
      </c>
      <c r="D64" s="403"/>
      <c r="E64" s="403"/>
      <c r="F64" s="390"/>
      <c r="G64" s="423"/>
      <c r="I64" s="128"/>
      <c r="J64" s="137"/>
      <c r="K64" s="17"/>
    </row>
    <row r="65" spans="2:11" x14ac:dyDescent="0.3">
      <c r="B65" s="395"/>
      <c r="C65" s="386" t="s">
        <v>86</v>
      </c>
      <c r="D65" s="403"/>
      <c r="E65" s="403"/>
      <c r="F65" s="390"/>
      <c r="G65" s="423"/>
      <c r="I65" s="128"/>
      <c r="J65" s="137"/>
      <c r="K65" s="17"/>
    </row>
    <row r="66" spans="2:11" x14ac:dyDescent="0.3">
      <c r="B66" s="395"/>
      <c r="C66" s="386" t="s">
        <v>87</v>
      </c>
      <c r="D66" s="403"/>
      <c r="E66" s="403"/>
      <c r="F66" s="390"/>
      <c r="G66" s="423"/>
      <c r="I66" s="128"/>
      <c r="J66" s="137"/>
      <c r="K66" s="17"/>
    </row>
    <row r="67" spans="2:11" x14ac:dyDescent="0.3">
      <c r="B67" s="395"/>
      <c r="C67" s="386" t="s">
        <v>88</v>
      </c>
      <c r="D67" s="403"/>
      <c r="E67" s="403"/>
      <c r="F67" s="390"/>
      <c r="G67" s="423"/>
      <c r="I67" s="128"/>
      <c r="J67" s="137"/>
      <c r="K67" s="17"/>
    </row>
    <row r="68" spans="2:11" x14ac:dyDescent="0.3">
      <c r="B68" s="395"/>
      <c r="C68" s="386" t="s">
        <v>89</v>
      </c>
      <c r="D68" s="403"/>
      <c r="E68" s="403"/>
      <c r="F68" s="390"/>
      <c r="G68" s="423"/>
      <c r="I68" s="128"/>
      <c r="J68" s="137"/>
      <c r="K68" s="17"/>
    </row>
    <row r="69" spans="2:11" ht="17.25" thickBot="1" x14ac:dyDescent="0.35">
      <c r="B69" s="395"/>
      <c r="C69" s="391" t="s">
        <v>90</v>
      </c>
      <c r="D69" s="404"/>
      <c r="E69" s="404"/>
      <c r="F69" s="392"/>
      <c r="G69" s="423"/>
      <c r="I69" s="128"/>
      <c r="J69" s="137"/>
      <c r="K69" s="17"/>
    </row>
    <row r="70" spans="2:11" ht="17.25" thickBot="1" x14ac:dyDescent="0.35">
      <c r="B70" s="395"/>
      <c r="C70" s="388"/>
      <c r="D70" s="388"/>
      <c r="E70" s="388"/>
      <c r="F70" s="388"/>
      <c r="G70" s="428"/>
      <c r="I70" s="128"/>
      <c r="J70" s="137"/>
      <c r="K70" s="17"/>
    </row>
    <row r="71" spans="2:11" ht="18" thickBot="1" x14ac:dyDescent="0.4">
      <c r="B71" s="395"/>
      <c r="C71" s="913" t="s">
        <v>91</v>
      </c>
      <c r="D71" s="914"/>
      <c r="E71" s="914"/>
      <c r="F71" s="915"/>
      <c r="G71" s="423"/>
      <c r="I71" s="128"/>
      <c r="J71" s="137"/>
      <c r="K71" s="17"/>
    </row>
    <row r="72" spans="2:11" ht="17.25" x14ac:dyDescent="0.35">
      <c r="B72" s="400"/>
      <c r="C72" s="398"/>
      <c r="D72" s="957" t="s">
        <v>48</v>
      </c>
      <c r="E72" s="955"/>
      <c r="F72" s="956"/>
      <c r="G72" s="428"/>
      <c r="I72" s="128"/>
      <c r="J72" s="137"/>
      <c r="K72" s="17"/>
    </row>
    <row r="73" spans="2:11" x14ac:dyDescent="0.3">
      <c r="B73" s="395"/>
      <c r="C73" s="386" t="s">
        <v>92</v>
      </c>
      <c r="D73" s="921"/>
      <c r="E73" s="921"/>
      <c r="F73" s="922"/>
      <c r="G73" s="428"/>
      <c r="I73" s="128"/>
      <c r="J73" s="137"/>
      <c r="K73" s="17"/>
    </row>
    <row r="74" spans="2:11" x14ac:dyDescent="0.3">
      <c r="B74" s="395"/>
      <c r="C74" s="386" t="s">
        <v>93</v>
      </c>
      <c r="D74" s="921"/>
      <c r="E74" s="921"/>
      <c r="F74" s="922"/>
      <c r="G74" s="428"/>
      <c r="I74" s="128"/>
      <c r="J74" s="137"/>
      <c r="K74" s="17"/>
    </row>
    <row r="75" spans="2:11" x14ac:dyDescent="0.3">
      <c r="B75" s="395"/>
      <c r="C75" s="386" t="s">
        <v>308</v>
      </c>
      <c r="D75" s="921"/>
      <c r="E75" s="921"/>
      <c r="F75" s="922"/>
      <c r="G75" s="428"/>
      <c r="I75" s="128"/>
      <c r="J75" s="137"/>
      <c r="K75" s="17"/>
    </row>
    <row r="76" spans="2:11" x14ac:dyDescent="0.3">
      <c r="B76" s="395"/>
      <c r="C76" s="386" t="s">
        <v>94</v>
      </c>
      <c r="D76" s="932" t="str">
        <f>IF(D73+D75=0,"",D73+D75)</f>
        <v/>
      </c>
      <c r="E76" s="932"/>
      <c r="F76" s="933"/>
      <c r="G76" s="428"/>
      <c r="I76" s="129"/>
      <c r="J76" s="138"/>
      <c r="K76" s="17"/>
    </row>
    <row r="77" spans="2:11" x14ac:dyDescent="0.3">
      <c r="B77" s="395"/>
      <c r="C77" s="386" t="s">
        <v>95</v>
      </c>
      <c r="D77" s="921"/>
      <c r="E77" s="921"/>
      <c r="F77" s="922"/>
      <c r="G77" s="428"/>
      <c r="I77" s="129"/>
      <c r="J77" s="138"/>
      <c r="K77" s="17"/>
    </row>
    <row r="78" spans="2:11" x14ac:dyDescent="0.3">
      <c r="B78" s="395"/>
      <c r="C78" s="386" t="s">
        <v>96</v>
      </c>
      <c r="D78" s="921"/>
      <c r="E78" s="921"/>
      <c r="F78" s="922"/>
      <c r="G78" s="428"/>
      <c r="I78" s="129"/>
      <c r="J78" s="138"/>
      <c r="K78" s="17"/>
    </row>
    <row r="79" spans="2:11" x14ac:dyDescent="0.3">
      <c r="B79" s="395"/>
      <c r="C79" s="386" t="s">
        <v>97</v>
      </c>
      <c r="D79" s="921"/>
      <c r="E79" s="921"/>
      <c r="F79" s="922"/>
      <c r="G79" s="428"/>
      <c r="I79" s="129"/>
      <c r="J79" s="138"/>
      <c r="K79" s="17"/>
    </row>
    <row r="80" spans="2:11" x14ac:dyDescent="0.3">
      <c r="B80" s="395"/>
      <c r="C80" s="386" t="s">
        <v>308</v>
      </c>
      <c r="D80" s="921"/>
      <c r="E80" s="921"/>
      <c r="F80" s="922"/>
      <c r="G80" s="428"/>
      <c r="I80" s="129"/>
      <c r="J80" s="138"/>
      <c r="K80" s="17"/>
    </row>
    <row r="81" spans="2:11" ht="17.25" thickBot="1" x14ac:dyDescent="0.35">
      <c r="B81" s="395"/>
      <c r="C81" s="391" t="s">
        <v>94</v>
      </c>
      <c r="D81" s="934" t="str">
        <f>IF(D78+D80=0,"",D78+D80)</f>
        <v/>
      </c>
      <c r="E81" s="934"/>
      <c r="F81" s="935"/>
      <c r="G81" s="428"/>
      <c r="I81" s="130"/>
      <c r="J81" s="137"/>
      <c r="K81" s="17"/>
    </row>
    <row r="82" spans="2:11" ht="17.25" thickBot="1" x14ac:dyDescent="0.35">
      <c r="B82" s="416"/>
      <c r="C82" s="405"/>
      <c r="D82" s="405"/>
      <c r="E82" s="405"/>
      <c r="F82" s="405"/>
      <c r="G82" s="433"/>
      <c r="I82" s="130"/>
      <c r="J82" s="137"/>
      <c r="K82" s="17"/>
    </row>
    <row r="83" spans="2:11" ht="17.25" thickBot="1" x14ac:dyDescent="0.35">
      <c r="B83" s="380"/>
      <c r="C83" s="380"/>
      <c r="D83" s="380"/>
      <c r="E83" s="380"/>
      <c r="F83" s="388"/>
      <c r="G83" s="434"/>
      <c r="K83" s="17"/>
    </row>
    <row r="84" spans="2:11" ht="18.75" thickBot="1" x14ac:dyDescent="0.4">
      <c r="B84" s="939" t="s">
        <v>430</v>
      </c>
      <c r="C84" s="940"/>
      <c r="D84" s="940"/>
      <c r="E84" s="940"/>
      <c r="F84" s="940"/>
      <c r="G84" s="941"/>
      <c r="K84" s="17"/>
    </row>
    <row r="85" spans="2:11" ht="18" thickBot="1" x14ac:dyDescent="0.4">
      <c r="B85" s="383"/>
      <c r="C85" s="421"/>
      <c r="D85" s="421"/>
      <c r="E85" s="421"/>
      <c r="F85" s="421"/>
      <c r="G85" s="422"/>
      <c r="K85" s="17"/>
    </row>
    <row r="86" spans="2:11" ht="18" thickBot="1" x14ac:dyDescent="0.4">
      <c r="B86" s="400"/>
      <c r="C86" s="913" t="s">
        <v>55</v>
      </c>
      <c r="D86" s="914"/>
      <c r="E86" s="914"/>
      <c r="F86" s="915"/>
      <c r="G86" s="423"/>
      <c r="K86" s="17"/>
    </row>
    <row r="87" spans="2:11" ht="17.25" x14ac:dyDescent="0.35">
      <c r="B87" s="395"/>
      <c r="C87" s="398"/>
      <c r="D87" s="957" t="s">
        <v>48</v>
      </c>
      <c r="E87" s="955"/>
      <c r="F87" s="956"/>
      <c r="G87" s="423"/>
      <c r="K87" s="17"/>
    </row>
    <row r="88" spans="2:11" ht="17.25" x14ac:dyDescent="0.35">
      <c r="B88" s="400"/>
      <c r="C88" s="395"/>
      <c r="D88" s="409" t="s">
        <v>56</v>
      </c>
      <c r="E88" s="409" t="s">
        <v>57</v>
      </c>
      <c r="F88" s="410" t="s">
        <v>58</v>
      </c>
      <c r="G88" s="423"/>
      <c r="K88" s="17"/>
    </row>
    <row r="89" spans="2:11" x14ac:dyDescent="0.3">
      <c r="B89" s="395"/>
      <c r="C89" s="386" t="s">
        <v>442</v>
      </c>
      <c r="D89" s="403"/>
      <c r="E89" s="403"/>
      <c r="F89" s="390"/>
      <c r="G89" s="423"/>
      <c r="K89" s="17"/>
    </row>
    <row r="90" spans="2:11" x14ac:dyDescent="0.3">
      <c r="B90" s="395"/>
      <c r="C90" s="386" t="s">
        <v>443</v>
      </c>
      <c r="D90" s="403"/>
      <c r="E90" s="403"/>
      <c r="F90" s="390"/>
      <c r="G90" s="423"/>
      <c r="K90" s="17"/>
    </row>
    <row r="91" spans="2:11" x14ac:dyDescent="0.3">
      <c r="B91" s="395"/>
      <c r="C91" s="386" t="s">
        <v>59</v>
      </c>
      <c r="D91" s="403"/>
      <c r="E91" s="403"/>
      <c r="F91" s="390"/>
      <c r="G91" s="423"/>
      <c r="K91" s="17"/>
    </row>
    <row r="92" spans="2:11" x14ac:dyDescent="0.3">
      <c r="B92" s="395"/>
      <c r="C92" s="386" t="s">
        <v>60</v>
      </c>
      <c r="D92" s="403"/>
      <c r="E92" s="403"/>
      <c r="F92" s="390"/>
      <c r="G92" s="423"/>
      <c r="K92" s="17"/>
    </row>
    <row r="93" spans="2:11" x14ac:dyDescent="0.3">
      <c r="B93" s="395"/>
      <c r="C93" s="386" t="s">
        <v>445</v>
      </c>
      <c r="D93" s="403"/>
      <c r="E93" s="388"/>
      <c r="F93" s="399"/>
      <c r="G93" s="423"/>
      <c r="I93" s="128"/>
      <c r="J93" s="137"/>
      <c r="K93" s="17"/>
    </row>
    <row r="94" spans="2:11" ht="17.25" thickBot="1" x14ac:dyDescent="0.35">
      <c r="B94" s="395"/>
      <c r="C94" s="391" t="s">
        <v>453</v>
      </c>
      <c r="D94" s="404"/>
      <c r="E94" s="405"/>
      <c r="F94" s="406"/>
      <c r="G94" s="423"/>
      <c r="K94" s="17"/>
    </row>
    <row r="95" spans="2:11" ht="17.25" thickBot="1" x14ac:dyDescent="0.35">
      <c r="B95" s="395"/>
      <c r="C95" s="407"/>
      <c r="D95" s="388"/>
      <c r="E95" s="388"/>
      <c r="F95" s="417"/>
      <c r="G95" s="428"/>
      <c r="K95" s="17"/>
    </row>
    <row r="96" spans="2:11" ht="18" thickBot="1" x14ac:dyDescent="0.4">
      <c r="B96" s="395"/>
      <c r="C96" s="913" t="s">
        <v>61</v>
      </c>
      <c r="D96" s="914"/>
      <c r="E96" s="914"/>
      <c r="F96" s="915"/>
      <c r="G96" s="423"/>
      <c r="K96" s="17"/>
    </row>
    <row r="97" spans="2:11" ht="17.25" x14ac:dyDescent="0.35">
      <c r="B97" s="395"/>
      <c r="C97" s="429"/>
      <c r="D97" s="957" t="s">
        <v>48</v>
      </c>
      <c r="E97" s="955"/>
      <c r="F97" s="956"/>
      <c r="G97" s="423"/>
      <c r="K97" s="17"/>
    </row>
    <row r="98" spans="2:11" ht="17.25" x14ac:dyDescent="0.35">
      <c r="B98" s="400"/>
      <c r="C98" s="408"/>
      <c r="D98" s="409" t="s">
        <v>56</v>
      </c>
      <c r="E98" s="409" t="s">
        <v>57</v>
      </c>
      <c r="F98" s="410" t="s">
        <v>58</v>
      </c>
      <c r="G98" s="423"/>
      <c r="K98" s="17"/>
    </row>
    <row r="99" spans="2:11" x14ac:dyDescent="0.3">
      <c r="B99" s="395"/>
      <c r="C99" s="386" t="s">
        <v>62</v>
      </c>
      <c r="D99" s="403"/>
      <c r="E99" s="403"/>
      <c r="F99" s="390"/>
      <c r="G99" s="423"/>
      <c r="K99" s="17"/>
    </row>
    <row r="100" spans="2:11" x14ac:dyDescent="0.3">
      <c r="B100" s="395"/>
      <c r="C100" s="386" t="s">
        <v>63</v>
      </c>
      <c r="D100" s="403"/>
      <c r="E100" s="403"/>
      <c r="F100" s="390"/>
      <c r="G100" s="423"/>
      <c r="K100" s="17"/>
    </row>
    <row r="101" spans="2:11" x14ac:dyDescent="0.3">
      <c r="B101" s="395"/>
      <c r="C101" s="386" t="s">
        <v>64</v>
      </c>
      <c r="D101" s="403"/>
      <c r="E101" s="403"/>
      <c r="F101" s="390"/>
      <c r="G101" s="423"/>
      <c r="K101" s="17"/>
    </row>
    <row r="102" spans="2:11" x14ac:dyDescent="0.3">
      <c r="B102" s="395"/>
      <c r="C102" s="386" t="s">
        <v>422</v>
      </c>
      <c r="D102" s="403"/>
      <c r="E102" s="403"/>
      <c r="F102" s="390"/>
      <c r="G102" s="423"/>
      <c r="K102" s="17"/>
    </row>
    <row r="103" spans="2:11" ht="17.25" thickBot="1" x14ac:dyDescent="0.35">
      <c r="B103" s="395"/>
      <c r="C103" s="391" t="s">
        <v>437</v>
      </c>
      <c r="D103" s="404"/>
      <c r="E103" s="404"/>
      <c r="F103" s="392"/>
      <c r="G103" s="423"/>
      <c r="K103" s="17"/>
    </row>
    <row r="104" spans="2:11" ht="17.25" thickBot="1" x14ac:dyDescent="0.35">
      <c r="B104" s="395"/>
      <c r="C104" s="388"/>
      <c r="D104" s="388"/>
      <c r="E104" s="388"/>
      <c r="F104" s="388"/>
      <c r="G104" s="428"/>
      <c r="K104" s="17"/>
    </row>
    <row r="105" spans="2:11" ht="18" thickBot="1" x14ac:dyDescent="0.4">
      <c r="B105" s="395"/>
      <c r="C105" s="913" t="s">
        <v>65</v>
      </c>
      <c r="D105" s="914"/>
      <c r="E105" s="914"/>
      <c r="F105" s="915"/>
      <c r="G105" s="423"/>
      <c r="K105" s="17"/>
    </row>
    <row r="106" spans="2:11" ht="17.25" x14ac:dyDescent="0.35">
      <c r="B106" s="395"/>
      <c r="C106" s="398"/>
      <c r="D106" s="957" t="s">
        <v>48</v>
      </c>
      <c r="E106" s="955"/>
      <c r="F106" s="956"/>
      <c r="G106" s="423"/>
      <c r="K106" s="17"/>
    </row>
    <row r="107" spans="2:11" ht="17.25" x14ac:dyDescent="0.35">
      <c r="B107" s="400"/>
      <c r="C107" s="395"/>
      <c r="D107" s="409" t="s">
        <v>56</v>
      </c>
      <c r="E107" s="409" t="s">
        <v>57</v>
      </c>
      <c r="F107" s="410" t="s">
        <v>58</v>
      </c>
      <c r="G107" s="423"/>
      <c r="K107" s="17"/>
    </row>
    <row r="108" spans="2:11" x14ac:dyDescent="0.3">
      <c r="B108" s="395"/>
      <c r="C108" s="386" t="s">
        <v>66</v>
      </c>
      <c r="D108" s="403"/>
      <c r="E108" s="403"/>
      <c r="F108" s="390"/>
      <c r="G108" s="423"/>
      <c r="K108" s="17"/>
    </row>
    <row r="109" spans="2:11" x14ac:dyDescent="0.3">
      <c r="B109" s="395"/>
      <c r="C109" s="386" t="s">
        <v>67</v>
      </c>
      <c r="D109" s="403"/>
      <c r="E109" s="403"/>
      <c r="F109" s="390"/>
      <c r="G109" s="423"/>
      <c r="K109" s="17"/>
    </row>
    <row r="110" spans="2:11" x14ac:dyDescent="0.3">
      <c r="B110" s="395"/>
      <c r="C110" s="386" t="s">
        <v>68</v>
      </c>
      <c r="D110" s="403"/>
      <c r="E110" s="403"/>
      <c r="F110" s="390"/>
      <c r="G110" s="423"/>
      <c r="K110" s="17"/>
    </row>
    <row r="111" spans="2:11" x14ac:dyDescent="0.3">
      <c r="B111" s="395"/>
      <c r="C111" s="386" t="s">
        <v>69</v>
      </c>
      <c r="D111" s="403"/>
      <c r="E111" s="403"/>
      <c r="F111" s="390"/>
      <c r="G111" s="423"/>
      <c r="K111" s="17"/>
    </row>
    <row r="112" spans="2:11" x14ac:dyDescent="0.3">
      <c r="B112" s="395"/>
      <c r="C112" s="386" t="s">
        <v>70</v>
      </c>
      <c r="D112" s="403"/>
      <c r="E112" s="403"/>
      <c r="F112" s="390"/>
      <c r="G112" s="423"/>
      <c r="K112" s="17"/>
    </row>
    <row r="113" spans="2:11" x14ac:dyDescent="0.3">
      <c r="B113" s="395"/>
      <c r="C113" s="386" t="s">
        <v>71</v>
      </c>
      <c r="D113" s="403"/>
      <c r="E113" s="403"/>
      <c r="F113" s="390"/>
      <c r="G113" s="423"/>
      <c r="K113" s="17"/>
    </row>
    <row r="114" spans="2:11" x14ac:dyDescent="0.3">
      <c r="B114" s="395"/>
      <c r="C114" s="386" t="s">
        <v>72</v>
      </c>
      <c r="D114" s="403"/>
      <c r="E114" s="403"/>
      <c r="F114" s="390"/>
      <c r="G114" s="423"/>
      <c r="K114" s="17"/>
    </row>
    <row r="115" spans="2:11" x14ac:dyDescent="0.3">
      <c r="B115" s="395"/>
      <c r="C115" s="386" t="s">
        <v>73</v>
      </c>
      <c r="D115" s="403"/>
      <c r="E115" s="403"/>
      <c r="F115" s="390"/>
      <c r="G115" s="423"/>
      <c r="K115" s="17"/>
    </row>
    <row r="116" spans="2:11" x14ac:dyDescent="0.3">
      <c r="B116" s="395"/>
      <c r="C116" s="386" t="s">
        <v>74</v>
      </c>
      <c r="D116" s="403"/>
      <c r="E116" s="403"/>
      <c r="F116" s="390"/>
      <c r="G116" s="423"/>
      <c r="K116" s="17"/>
    </row>
    <row r="117" spans="2:11" x14ac:dyDescent="0.3">
      <c r="B117" s="395"/>
      <c r="C117" s="386" t="s">
        <v>75</v>
      </c>
      <c r="D117" s="403"/>
      <c r="E117" s="403"/>
      <c r="F117" s="390"/>
      <c r="G117" s="423"/>
      <c r="K117" s="17"/>
    </row>
    <row r="118" spans="2:11" ht="17.25" thickBot="1" x14ac:dyDescent="0.35">
      <c r="B118" s="395"/>
      <c r="C118" s="391" t="s">
        <v>76</v>
      </c>
      <c r="D118" s="404"/>
      <c r="E118" s="404"/>
      <c r="F118" s="392"/>
      <c r="G118" s="423"/>
      <c r="K118" s="17"/>
    </row>
    <row r="119" spans="2:11" ht="17.25" thickBot="1" x14ac:dyDescent="0.35">
      <c r="B119" s="395"/>
      <c r="C119" s="388"/>
      <c r="D119" s="388"/>
      <c r="E119" s="388"/>
      <c r="F119" s="388"/>
      <c r="G119" s="428"/>
      <c r="K119" s="17"/>
    </row>
    <row r="120" spans="2:11" ht="18" thickBot="1" x14ac:dyDescent="0.4">
      <c r="B120" s="395"/>
      <c r="C120" s="913" t="s">
        <v>77</v>
      </c>
      <c r="D120" s="914"/>
      <c r="E120" s="914"/>
      <c r="F120" s="915"/>
      <c r="G120" s="423"/>
      <c r="K120" s="17"/>
    </row>
    <row r="121" spans="2:11" ht="17.25" x14ac:dyDescent="0.35">
      <c r="B121" s="395"/>
      <c r="C121" s="398"/>
      <c r="D121" s="957" t="s">
        <v>48</v>
      </c>
      <c r="E121" s="955"/>
      <c r="F121" s="956"/>
      <c r="G121" s="423"/>
      <c r="K121" s="17"/>
    </row>
    <row r="122" spans="2:11" ht="17.25" x14ac:dyDescent="0.35">
      <c r="B122" s="400"/>
      <c r="C122" s="395"/>
      <c r="D122" s="409" t="s">
        <v>56</v>
      </c>
      <c r="E122" s="409" t="s">
        <v>57</v>
      </c>
      <c r="F122" s="410" t="s">
        <v>58</v>
      </c>
      <c r="G122" s="423"/>
      <c r="K122" s="17"/>
    </row>
    <row r="123" spans="2:11" x14ac:dyDescent="0.3">
      <c r="B123" s="395"/>
      <c r="C123" s="386" t="s">
        <v>78</v>
      </c>
      <c r="D123" s="403"/>
      <c r="E123" s="403"/>
      <c r="F123" s="390"/>
      <c r="G123" s="423"/>
      <c r="K123" s="17"/>
    </row>
    <row r="124" spans="2:11" x14ac:dyDescent="0.3">
      <c r="B124" s="395"/>
      <c r="C124" s="386" t="s">
        <v>79</v>
      </c>
      <c r="D124" s="403"/>
      <c r="E124" s="403"/>
      <c r="F124" s="390"/>
      <c r="G124" s="423"/>
      <c r="K124" s="17"/>
    </row>
    <row r="125" spans="2:11" x14ac:dyDescent="0.3">
      <c r="B125" s="395"/>
      <c r="C125" s="386" t="s">
        <v>80</v>
      </c>
      <c r="D125" s="403"/>
      <c r="E125" s="403"/>
      <c r="F125" s="390"/>
      <c r="G125" s="423"/>
      <c r="K125" s="17"/>
    </row>
    <row r="126" spans="2:11" x14ac:dyDescent="0.3">
      <c r="B126" s="395"/>
      <c r="C126" s="386" t="s">
        <v>81</v>
      </c>
      <c r="D126" s="403"/>
      <c r="E126" s="403"/>
      <c r="F126" s="390"/>
      <c r="G126" s="423"/>
      <c r="K126" s="17"/>
    </row>
    <row r="127" spans="2:11" ht="17.25" thickBot="1" x14ac:dyDescent="0.35">
      <c r="B127" s="395"/>
      <c r="C127" s="412" t="s">
        <v>438</v>
      </c>
      <c r="D127" s="404"/>
      <c r="E127" s="404"/>
      <c r="F127" s="392"/>
      <c r="G127" s="423"/>
      <c r="K127" s="17"/>
    </row>
    <row r="128" spans="2:11" ht="17.25" thickBot="1" x14ac:dyDescent="0.35">
      <c r="B128" s="395"/>
      <c r="C128" s="388"/>
      <c r="D128" s="388"/>
      <c r="E128" s="388"/>
      <c r="F128" s="388"/>
      <c r="G128" s="428"/>
      <c r="K128" s="17"/>
    </row>
    <row r="129" spans="2:11" ht="18" thickBot="1" x14ac:dyDescent="0.4">
      <c r="B129" s="395"/>
      <c r="C129" s="913" t="s">
        <v>82</v>
      </c>
      <c r="D129" s="914"/>
      <c r="E129" s="914"/>
      <c r="F129" s="915"/>
      <c r="G129" s="423"/>
      <c r="K129" s="17"/>
    </row>
    <row r="130" spans="2:11" ht="17.25" x14ac:dyDescent="0.35">
      <c r="B130" s="395"/>
      <c r="C130" s="398"/>
      <c r="D130" s="957" t="s">
        <v>48</v>
      </c>
      <c r="E130" s="955"/>
      <c r="F130" s="956"/>
      <c r="G130" s="423"/>
      <c r="K130" s="17"/>
    </row>
    <row r="131" spans="2:11" ht="17.25" x14ac:dyDescent="0.35">
      <c r="B131" s="413"/>
      <c r="C131" s="395"/>
      <c r="D131" s="409" t="s">
        <v>56</v>
      </c>
      <c r="E131" s="409" t="s">
        <v>57</v>
      </c>
      <c r="F131" s="410" t="s">
        <v>58</v>
      </c>
      <c r="G131" s="423"/>
      <c r="K131" s="17"/>
    </row>
    <row r="132" spans="2:11" x14ac:dyDescent="0.3">
      <c r="B132" s="395"/>
      <c r="C132" s="386" t="s">
        <v>83</v>
      </c>
      <c r="D132" s="403"/>
      <c r="E132" s="403"/>
      <c r="F132" s="390"/>
      <c r="G132" s="423"/>
      <c r="K132" s="17"/>
    </row>
    <row r="133" spans="2:11" x14ac:dyDescent="0.3">
      <c r="B133" s="395"/>
      <c r="C133" s="386" t="s">
        <v>84</v>
      </c>
      <c r="D133" s="403"/>
      <c r="E133" s="403"/>
      <c r="F133" s="390"/>
      <c r="G133" s="423"/>
      <c r="K133" s="17"/>
    </row>
    <row r="134" spans="2:11" x14ac:dyDescent="0.3">
      <c r="B134" s="395"/>
      <c r="C134" s="386" t="s">
        <v>85</v>
      </c>
      <c r="D134" s="403"/>
      <c r="E134" s="403"/>
      <c r="F134" s="390"/>
      <c r="G134" s="423"/>
      <c r="K134" s="17"/>
    </row>
    <row r="135" spans="2:11" x14ac:dyDescent="0.3">
      <c r="B135" s="395"/>
      <c r="C135" s="386" t="s">
        <v>86</v>
      </c>
      <c r="D135" s="403"/>
      <c r="E135" s="403"/>
      <c r="F135" s="390"/>
      <c r="G135" s="423"/>
      <c r="K135" s="17"/>
    </row>
    <row r="136" spans="2:11" x14ac:dyDescent="0.3">
      <c r="B136" s="395"/>
      <c r="C136" s="386" t="s">
        <v>87</v>
      </c>
      <c r="D136" s="403"/>
      <c r="E136" s="403"/>
      <c r="F136" s="390"/>
      <c r="G136" s="423"/>
      <c r="K136" s="17"/>
    </row>
    <row r="137" spans="2:11" x14ac:dyDescent="0.3">
      <c r="B137" s="395"/>
      <c r="C137" s="386" t="s">
        <v>88</v>
      </c>
      <c r="D137" s="403"/>
      <c r="E137" s="403"/>
      <c r="F137" s="390"/>
      <c r="G137" s="423"/>
      <c r="K137" s="17"/>
    </row>
    <row r="138" spans="2:11" x14ac:dyDescent="0.3">
      <c r="B138" s="395"/>
      <c r="C138" s="386" t="s">
        <v>89</v>
      </c>
      <c r="D138" s="403"/>
      <c r="E138" s="403"/>
      <c r="F138" s="390"/>
      <c r="G138" s="423"/>
      <c r="K138" s="17"/>
    </row>
    <row r="139" spans="2:11" ht="17.25" thickBot="1" x14ac:dyDescent="0.35">
      <c r="B139" s="395"/>
      <c r="C139" s="391" t="s">
        <v>90</v>
      </c>
      <c r="D139" s="404"/>
      <c r="E139" s="404"/>
      <c r="F139" s="392"/>
      <c r="G139" s="423"/>
      <c r="K139" s="17"/>
    </row>
    <row r="140" spans="2:11" ht="17.25" thickBot="1" x14ac:dyDescent="0.35">
      <c r="B140" s="395"/>
      <c r="C140" s="388"/>
      <c r="D140" s="388"/>
      <c r="E140" s="388"/>
      <c r="F140" s="388"/>
      <c r="G140" s="428"/>
      <c r="K140" s="17"/>
    </row>
    <row r="141" spans="2:11" ht="18" thickBot="1" x14ac:dyDescent="0.4">
      <c r="B141" s="395"/>
      <c r="C141" s="913" t="s">
        <v>91</v>
      </c>
      <c r="D141" s="914"/>
      <c r="E141" s="914"/>
      <c r="F141" s="915"/>
      <c r="G141" s="423"/>
      <c r="K141" s="17"/>
    </row>
    <row r="142" spans="2:11" ht="17.25" x14ac:dyDescent="0.35">
      <c r="B142" s="400"/>
      <c r="C142" s="398"/>
      <c r="D142" s="957" t="s">
        <v>48</v>
      </c>
      <c r="E142" s="955"/>
      <c r="F142" s="956"/>
      <c r="G142" s="428"/>
      <c r="K142" s="17"/>
    </row>
    <row r="143" spans="2:11" x14ac:dyDescent="0.3">
      <c r="B143" s="395"/>
      <c r="C143" s="386" t="s">
        <v>92</v>
      </c>
      <c r="D143" s="921"/>
      <c r="E143" s="921"/>
      <c r="F143" s="922"/>
      <c r="G143" s="428"/>
      <c r="K143" s="17"/>
    </row>
    <row r="144" spans="2:11" x14ac:dyDescent="0.3">
      <c r="B144" s="395"/>
      <c r="C144" s="386" t="s">
        <v>93</v>
      </c>
      <c r="D144" s="921"/>
      <c r="E144" s="921"/>
      <c r="F144" s="922"/>
      <c r="G144" s="428"/>
      <c r="K144" s="17"/>
    </row>
    <row r="145" spans="2:11" x14ac:dyDescent="0.3">
      <c r="B145" s="395"/>
      <c r="C145" s="386" t="s">
        <v>308</v>
      </c>
      <c r="D145" s="921"/>
      <c r="E145" s="921"/>
      <c r="F145" s="922"/>
      <c r="G145" s="428"/>
      <c r="K145" s="17"/>
    </row>
    <row r="146" spans="2:11" x14ac:dyDescent="0.3">
      <c r="B146" s="395"/>
      <c r="C146" s="386" t="s">
        <v>94</v>
      </c>
      <c r="D146" s="946" t="str">
        <f>IF(D143+D145=0,"",D143+D145)</f>
        <v/>
      </c>
      <c r="E146" s="946"/>
      <c r="F146" s="947"/>
      <c r="G146" s="428"/>
      <c r="K146" s="17"/>
    </row>
    <row r="147" spans="2:11" x14ac:dyDescent="0.3">
      <c r="B147" s="395"/>
      <c r="C147" s="386" t="s">
        <v>95</v>
      </c>
      <c r="D147" s="921"/>
      <c r="E147" s="921"/>
      <c r="F147" s="922"/>
      <c r="G147" s="428"/>
      <c r="K147" s="17"/>
    </row>
    <row r="148" spans="2:11" x14ac:dyDescent="0.3">
      <c r="B148" s="395"/>
      <c r="C148" s="386" t="s">
        <v>96</v>
      </c>
      <c r="D148" s="921"/>
      <c r="E148" s="921"/>
      <c r="F148" s="922"/>
      <c r="G148" s="428"/>
      <c r="K148" s="17"/>
    </row>
    <row r="149" spans="2:11" x14ac:dyDescent="0.3">
      <c r="B149" s="395"/>
      <c r="C149" s="386" t="s">
        <v>97</v>
      </c>
      <c r="D149" s="921"/>
      <c r="E149" s="921"/>
      <c r="F149" s="922"/>
      <c r="G149" s="428"/>
      <c r="K149" s="17"/>
    </row>
    <row r="150" spans="2:11" x14ac:dyDescent="0.3">
      <c r="B150" s="395"/>
      <c r="C150" s="386" t="s">
        <v>308</v>
      </c>
      <c r="D150" s="921"/>
      <c r="E150" s="921"/>
      <c r="F150" s="922"/>
      <c r="G150" s="428"/>
      <c r="K150" s="17"/>
    </row>
    <row r="151" spans="2:11" ht="17.25" thickBot="1" x14ac:dyDescent="0.35">
      <c r="B151" s="395"/>
      <c r="C151" s="391" t="s">
        <v>94</v>
      </c>
      <c r="D151" s="950" t="str">
        <f>IF(D148+D150=0,"",D148+D150)</f>
        <v/>
      </c>
      <c r="E151" s="950"/>
      <c r="F151" s="951"/>
      <c r="G151" s="428"/>
      <c r="K151" s="17"/>
    </row>
    <row r="152" spans="2:11" ht="17.25" thickBot="1" x14ac:dyDescent="0.35">
      <c r="B152" s="416"/>
      <c r="C152" s="405"/>
      <c r="D152" s="405"/>
      <c r="E152" s="405"/>
      <c r="F152" s="405"/>
      <c r="G152" s="433"/>
      <c r="K152" s="17"/>
    </row>
    <row r="153" spans="2:11" ht="17.25" thickBot="1" x14ac:dyDescent="0.35">
      <c r="B153" s="380"/>
      <c r="C153" s="380"/>
      <c r="D153" s="380"/>
      <c r="E153" s="380"/>
      <c r="F153" s="388"/>
      <c r="G153" s="434"/>
      <c r="K153" s="17"/>
    </row>
    <row r="154" spans="2:11" ht="18.75" thickBot="1" x14ac:dyDescent="0.4">
      <c r="B154" s="939" t="s">
        <v>431</v>
      </c>
      <c r="C154" s="940"/>
      <c r="D154" s="940"/>
      <c r="E154" s="940"/>
      <c r="F154" s="940"/>
      <c r="G154" s="941"/>
      <c r="K154" s="17"/>
    </row>
    <row r="155" spans="2:11" ht="18" thickBot="1" x14ac:dyDescent="0.4">
      <c r="B155" s="383"/>
      <c r="C155" s="421"/>
      <c r="D155" s="421"/>
      <c r="E155" s="421"/>
      <c r="F155" s="421"/>
      <c r="G155" s="422"/>
      <c r="K155" s="17"/>
    </row>
    <row r="156" spans="2:11" ht="18" thickBot="1" x14ac:dyDescent="0.4">
      <c r="B156" s="400"/>
      <c r="C156" s="913" t="s">
        <v>55</v>
      </c>
      <c r="D156" s="914"/>
      <c r="E156" s="914"/>
      <c r="F156" s="915"/>
      <c r="G156" s="423"/>
      <c r="K156" s="17"/>
    </row>
    <row r="157" spans="2:11" ht="17.25" x14ac:dyDescent="0.35">
      <c r="B157" s="395"/>
      <c r="C157" s="398"/>
      <c r="D157" s="957" t="s">
        <v>48</v>
      </c>
      <c r="E157" s="955"/>
      <c r="F157" s="956"/>
      <c r="G157" s="423"/>
      <c r="K157" s="17"/>
    </row>
    <row r="158" spans="2:11" ht="17.25" x14ac:dyDescent="0.35">
      <c r="B158" s="400"/>
      <c r="C158" s="395"/>
      <c r="D158" s="409" t="s">
        <v>56</v>
      </c>
      <c r="E158" s="409" t="s">
        <v>57</v>
      </c>
      <c r="F158" s="410" t="s">
        <v>58</v>
      </c>
      <c r="G158" s="423"/>
      <c r="K158" s="17"/>
    </row>
    <row r="159" spans="2:11" x14ac:dyDescent="0.3">
      <c r="B159" s="395"/>
      <c r="C159" s="386" t="s">
        <v>442</v>
      </c>
      <c r="D159" s="403"/>
      <c r="E159" s="403"/>
      <c r="F159" s="390"/>
      <c r="G159" s="423"/>
      <c r="K159" s="17"/>
    </row>
    <row r="160" spans="2:11" x14ac:dyDescent="0.3">
      <c r="B160" s="395"/>
      <c r="C160" s="386" t="s">
        <v>443</v>
      </c>
      <c r="D160" s="403"/>
      <c r="E160" s="403"/>
      <c r="F160" s="390"/>
      <c r="G160" s="423"/>
      <c r="K160" s="17"/>
    </row>
    <row r="161" spans="2:11" x14ac:dyDescent="0.3">
      <c r="B161" s="395"/>
      <c r="C161" s="386" t="s">
        <v>59</v>
      </c>
      <c r="D161" s="403"/>
      <c r="E161" s="403"/>
      <c r="F161" s="390"/>
      <c r="G161" s="423"/>
      <c r="K161" s="17"/>
    </row>
    <row r="162" spans="2:11" x14ac:dyDescent="0.3">
      <c r="B162" s="395"/>
      <c r="C162" s="386" t="s">
        <v>60</v>
      </c>
      <c r="D162" s="403"/>
      <c r="E162" s="403"/>
      <c r="F162" s="390"/>
      <c r="G162" s="423"/>
      <c r="K162" s="17"/>
    </row>
    <row r="163" spans="2:11" x14ac:dyDescent="0.3">
      <c r="B163" s="395"/>
      <c r="C163" s="386" t="s">
        <v>445</v>
      </c>
      <c r="D163" s="403"/>
      <c r="E163" s="388"/>
      <c r="F163" s="399"/>
      <c r="G163" s="423"/>
      <c r="I163" s="128"/>
      <c r="J163" s="137"/>
      <c r="K163" s="17"/>
    </row>
    <row r="164" spans="2:11" ht="17.25" thickBot="1" x14ac:dyDescent="0.35">
      <c r="B164" s="395"/>
      <c r="C164" s="391" t="s">
        <v>453</v>
      </c>
      <c r="D164" s="404"/>
      <c r="E164" s="405"/>
      <c r="F164" s="406"/>
      <c r="G164" s="423"/>
      <c r="K164" s="17"/>
    </row>
    <row r="165" spans="2:11" ht="17.25" thickBot="1" x14ac:dyDescent="0.35">
      <c r="B165" s="395"/>
      <c r="C165" s="407"/>
      <c r="D165" s="388"/>
      <c r="E165" s="388"/>
      <c r="F165" s="388"/>
      <c r="G165" s="428"/>
      <c r="K165" s="17"/>
    </row>
    <row r="166" spans="2:11" ht="18" thickBot="1" x14ac:dyDescent="0.4">
      <c r="B166" s="395"/>
      <c r="C166" s="913" t="s">
        <v>61</v>
      </c>
      <c r="D166" s="914"/>
      <c r="E166" s="914"/>
      <c r="F166" s="915"/>
      <c r="G166" s="423"/>
      <c r="K166" s="17"/>
    </row>
    <row r="167" spans="2:11" ht="17.25" x14ac:dyDescent="0.35">
      <c r="B167" s="395"/>
      <c r="C167" s="429"/>
      <c r="D167" s="957" t="s">
        <v>48</v>
      </c>
      <c r="E167" s="955"/>
      <c r="F167" s="956"/>
      <c r="G167" s="423"/>
      <c r="K167" s="17"/>
    </row>
    <row r="168" spans="2:11" ht="17.25" x14ac:dyDescent="0.35">
      <c r="B168" s="400"/>
      <c r="C168" s="408"/>
      <c r="D168" s="409" t="s">
        <v>56</v>
      </c>
      <c r="E168" s="409" t="s">
        <v>57</v>
      </c>
      <c r="F168" s="410" t="s">
        <v>58</v>
      </c>
      <c r="G168" s="423"/>
      <c r="K168" s="17"/>
    </row>
    <row r="169" spans="2:11" x14ac:dyDescent="0.3">
      <c r="B169" s="395"/>
      <c r="C169" s="386" t="s">
        <v>62</v>
      </c>
      <c r="D169" s="403"/>
      <c r="E169" s="403"/>
      <c r="F169" s="390"/>
      <c r="G169" s="423"/>
      <c r="K169" s="17"/>
    </row>
    <row r="170" spans="2:11" x14ac:dyDescent="0.3">
      <c r="B170" s="395"/>
      <c r="C170" s="386" t="s">
        <v>63</v>
      </c>
      <c r="D170" s="403"/>
      <c r="E170" s="403"/>
      <c r="F170" s="390"/>
      <c r="G170" s="423"/>
      <c r="K170" s="17"/>
    </row>
    <row r="171" spans="2:11" x14ac:dyDescent="0.3">
      <c r="B171" s="395"/>
      <c r="C171" s="386" t="s">
        <v>64</v>
      </c>
      <c r="D171" s="403"/>
      <c r="E171" s="403"/>
      <c r="F171" s="390"/>
      <c r="G171" s="423"/>
      <c r="K171" s="17"/>
    </row>
    <row r="172" spans="2:11" x14ac:dyDescent="0.3">
      <c r="B172" s="395"/>
      <c r="C172" s="386" t="s">
        <v>422</v>
      </c>
      <c r="D172" s="403"/>
      <c r="E172" s="403"/>
      <c r="F172" s="390"/>
      <c r="G172" s="423"/>
      <c r="K172" s="17"/>
    </row>
    <row r="173" spans="2:11" ht="17.25" thickBot="1" x14ac:dyDescent="0.35">
      <c r="B173" s="395"/>
      <c r="C173" s="391" t="s">
        <v>437</v>
      </c>
      <c r="D173" s="404"/>
      <c r="E173" s="404"/>
      <c r="F173" s="392"/>
      <c r="G173" s="423"/>
      <c r="K173" s="17"/>
    </row>
    <row r="174" spans="2:11" ht="17.25" thickBot="1" x14ac:dyDescent="0.35">
      <c r="B174" s="395"/>
      <c r="C174" s="388"/>
      <c r="D174" s="388"/>
      <c r="E174" s="388"/>
      <c r="F174" s="388"/>
      <c r="G174" s="428"/>
      <c r="K174" s="17"/>
    </row>
    <row r="175" spans="2:11" ht="18" thickBot="1" x14ac:dyDescent="0.4">
      <c r="B175" s="395"/>
      <c r="C175" s="913" t="s">
        <v>65</v>
      </c>
      <c r="D175" s="914"/>
      <c r="E175" s="914"/>
      <c r="F175" s="915"/>
      <c r="G175" s="423"/>
      <c r="K175" s="17"/>
    </row>
    <row r="176" spans="2:11" ht="17.25" x14ac:dyDescent="0.35">
      <c r="B176" s="395"/>
      <c r="C176" s="398"/>
      <c r="D176" s="957" t="s">
        <v>48</v>
      </c>
      <c r="E176" s="955"/>
      <c r="F176" s="956"/>
      <c r="G176" s="423"/>
      <c r="K176" s="17"/>
    </row>
    <row r="177" spans="2:11" ht="17.25" x14ac:dyDescent="0.35">
      <c r="B177" s="400"/>
      <c r="C177" s="395"/>
      <c r="D177" s="409" t="s">
        <v>56</v>
      </c>
      <c r="E177" s="409" t="s">
        <v>57</v>
      </c>
      <c r="F177" s="410" t="s">
        <v>58</v>
      </c>
      <c r="G177" s="423"/>
      <c r="K177" s="17"/>
    </row>
    <row r="178" spans="2:11" x14ac:dyDescent="0.3">
      <c r="B178" s="395"/>
      <c r="C178" s="386" t="s">
        <v>66</v>
      </c>
      <c r="D178" s="403"/>
      <c r="E178" s="403"/>
      <c r="F178" s="390"/>
      <c r="G178" s="423"/>
      <c r="K178" s="17"/>
    </row>
    <row r="179" spans="2:11" x14ac:dyDescent="0.3">
      <c r="B179" s="395"/>
      <c r="C179" s="386" t="s">
        <v>67</v>
      </c>
      <c r="D179" s="403"/>
      <c r="E179" s="403"/>
      <c r="F179" s="390"/>
      <c r="G179" s="423"/>
      <c r="K179" s="17"/>
    </row>
    <row r="180" spans="2:11" x14ac:dyDescent="0.3">
      <c r="B180" s="395"/>
      <c r="C180" s="386" t="s">
        <v>68</v>
      </c>
      <c r="D180" s="403"/>
      <c r="E180" s="403"/>
      <c r="F180" s="390"/>
      <c r="G180" s="423"/>
      <c r="K180" s="17"/>
    </row>
    <row r="181" spans="2:11" x14ac:dyDescent="0.3">
      <c r="B181" s="395"/>
      <c r="C181" s="386" t="s">
        <v>69</v>
      </c>
      <c r="D181" s="403"/>
      <c r="E181" s="403"/>
      <c r="F181" s="390"/>
      <c r="G181" s="423"/>
      <c r="K181" s="17"/>
    </row>
    <row r="182" spans="2:11" x14ac:dyDescent="0.3">
      <c r="B182" s="395"/>
      <c r="C182" s="386" t="s">
        <v>70</v>
      </c>
      <c r="D182" s="403"/>
      <c r="E182" s="403"/>
      <c r="F182" s="390"/>
      <c r="G182" s="423"/>
      <c r="K182" s="17"/>
    </row>
    <row r="183" spans="2:11" x14ac:dyDescent="0.3">
      <c r="B183" s="395"/>
      <c r="C183" s="386" t="s">
        <v>71</v>
      </c>
      <c r="D183" s="403"/>
      <c r="E183" s="403"/>
      <c r="F183" s="390"/>
      <c r="G183" s="423"/>
      <c r="K183" s="17"/>
    </row>
    <row r="184" spans="2:11" x14ac:dyDescent="0.3">
      <c r="B184" s="395"/>
      <c r="C184" s="386" t="s">
        <v>72</v>
      </c>
      <c r="D184" s="403"/>
      <c r="E184" s="403"/>
      <c r="F184" s="390"/>
      <c r="G184" s="423"/>
      <c r="K184" s="17"/>
    </row>
    <row r="185" spans="2:11" x14ac:dyDescent="0.3">
      <c r="B185" s="395"/>
      <c r="C185" s="386" t="s">
        <v>73</v>
      </c>
      <c r="D185" s="403"/>
      <c r="E185" s="403"/>
      <c r="F185" s="390"/>
      <c r="G185" s="423"/>
      <c r="K185" s="17"/>
    </row>
    <row r="186" spans="2:11" x14ac:dyDescent="0.3">
      <c r="B186" s="395"/>
      <c r="C186" s="386" t="s">
        <v>74</v>
      </c>
      <c r="D186" s="403"/>
      <c r="E186" s="403"/>
      <c r="F186" s="390"/>
      <c r="G186" s="423"/>
      <c r="K186" s="17"/>
    </row>
    <row r="187" spans="2:11" x14ac:dyDescent="0.3">
      <c r="B187" s="395"/>
      <c r="C187" s="386" t="s">
        <v>75</v>
      </c>
      <c r="D187" s="403"/>
      <c r="E187" s="403"/>
      <c r="F187" s="390"/>
      <c r="G187" s="423"/>
      <c r="K187" s="17"/>
    </row>
    <row r="188" spans="2:11" ht="17.25" thickBot="1" x14ac:dyDescent="0.35">
      <c r="B188" s="395"/>
      <c r="C188" s="391" t="s">
        <v>76</v>
      </c>
      <c r="D188" s="404"/>
      <c r="E188" s="404"/>
      <c r="F188" s="392"/>
      <c r="G188" s="423"/>
      <c r="K188" s="17"/>
    </row>
    <row r="189" spans="2:11" ht="17.25" thickBot="1" x14ac:dyDescent="0.35">
      <c r="B189" s="395"/>
      <c r="C189" s="388"/>
      <c r="D189" s="388"/>
      <c r="E189" s="388"/>
      <c r="F189" s="417"/>
      <c r="G189" s="428"/>
      <c r="K189" s="17"/>
    </row>
    <row r="190" spans="2:11" ht="18" thickBot="1" x14ac:dyDescent="0.4">
      <c r="B190" s="395"/>
      <c r="C190" s="913" t="s">
        <v>77</v>
      </c>
      <c r="D190" s="914"/>
      <c r="E190" s="914"/>
      <c r="F190" s="915"/>
      <c r="G190" s="423"/>
      <c r="K190" s="17"/>
    </row>
    <row r="191" spans="2:11" ht="17.25" x14ac:dyDescent="0.35">
      <c r="B191" s="395"/>
      <c r="C191" s="398"/>
      <c r="D191" s="957" t="s">
        <v>48</v>
      </c>
      <c r="E191" s="955"/>
      <c r="F191" s="956"/>
      <c r="G191" s="423"/>
      <c r="K191" s="17"/>
    </row>
    <row r="192" spans="2:11" ht="17.25" x14ac:dyDescent="0.35">
      <c r="B192" s="400"/>
      <c r="C192" s="395"/>
      <c r="D192" s="409" t="s">
        <v>56</v>
      </c>
      <c r="E192" s="409" t="s">
        <v>57</v>
      </c>
      <c r="F192" s="410" t="s">
        <v>58</v>
      </c>
      <c r="G192" s="423"/>
      <c r="K192" s="17"/>
    </row>
    <row r="193" spans="2:11" x14ac:dyDescent="0.3">
      <c r="B193" s="395"/>
      <c r="C193" s="386" t="s">
        <v>306</v>
      </c>
      <c r="D193" s="403"/>
      <c r="E193" s="403"/>
      <c r="F193" s="390"/>
      <c r="G193" s="423"/>
      <c r="K193" s="17"/>
    </row>
    <row r="194" spans="2:11" x14ac:dyDescent="0.3">
      <c r="B194" s="395"/>
      <c r="C194" s="386" t="s">
        <v>307</v>
      </c>
      <c r="D194" s="403"/>
      <c r="E194" s="403"/>
      <c r="F194" s="390"/>
      <c r="G194" s="423"/>
      <c r="K194" s="17"/>
    </row>
    <row r="195" spans="2:11" x14ac:dyDescent="0.3">
      <c r="B195" s="395"/>
      <c r="C195" s="386" t="s">
        <v>80</v>
      </c>
      <c r="D195" s="403"/>
      <c r="E195" s="403"/>
      <c r="F195" s="390"/>
      <c r="G195" s="423"/>
      <c r="K195" s="17"/>
    </row>
    <row r="196" spans="2:11" x14ac:dyDescent="0.3">
      <c r="B196" s="395"/>
      <c r="C196" s="386" t="s">
        <v>81</v>
      </c>
      <c r="D196" s="403"/>
      <c r="E196" s="403"/>
      <c r="F196" s="390"/>
      <c r="G196" s="423"/>
      <c r="K196" s="17"/>
    </row>
    <row r="197" spans="2:11" ht="17.25" thickBot="1" x14ac:dyDescent="0.35">
      <c r="B197" s="395"/>
      <c r="C197" s="412" t="s">
        <v>438</v>
      </c>
      <c r="D197" s="404"/>
      <c r="E197" s="404"/>
      <c r="F197" s="392"/>
      <c r="G197" s="423"/>
      <c r="K197" s="17"/>
    </row>
    <row r="198" spans="2:11" ht="17.25" thickBot="1" x14ac:dyDescent="0.35">
      <c r="B198" s="395"/>
      <c r="C198" s="388"/>
      <c r="D198" s="388"/>
      <c r="E198" s="388"/>
      <c r="F198" s="417"/>
      <c r="G198" s="428"/>
      <c r="K198" s="17"/>
    </row>
    <row r="199" spans="2:11" ht="18" thickBot="1" x14ac:dyDescent="0.4">
      <c r="B199" s="395"/>
      <c r="C199" s="913" t="s">
        <v>82</v>
      </c>
      <c r="D199" s="914"/>
      <c r="E199" s="914"/>
      <c r="F199" s="915"/>
      <c r="G199" s="423"/>
      <c r="K199" s="17"/>
    </row>
    <row r="200" spans="2:11" ht="17.25" x14ac:dyDescent="0.35">
      <c r="B200" s="395"/>
      <c r="C200" s="398"/>
      <c r="D200" s="957" t="s">
        <v>48</v>
      </c>
      <c r="E200" s="955"/>
      <c r="F200" s="956"/>
      <c r="G200" s="423"/>
      <c r="K200" s="17"/>
    </row>
    <row r="201" spans="2:11" ht="17.25" x14ac:dyDescent="0.35">
      <c r="B201" s="413"/>
      <c r="C201" s="395"/>
      <c r="D201" s="409" t="s">
        <v>56</v>
      </c>
      <c r="E201" s="409" t="s">
        <v>57</v>
      </c>
      <c r="F201" s="410" t="s">
        <v>58</v>
      </c>
      <c r="G201" s="423"/>
      <c r="K201" s="17"/>
    </row>
    <row r="202" spans="2:11" x14ac:dyDescent="0.3">
      <c r="B202" s="395"/>
      <c r="C202" s="386" t="s">
        <v>83</v>
      </c>
      <c r="D202" s="403"/>
      <c r="E202" s="403"/>
      <c r="F202" s="390"/>
      <c r="G202" s="423"/>
      <c r="K202" s="17"/>
    </row>
    <row r="203" spans="2:11" x14ac:dyDescent="0.3">
      <c r="B203" s="395"/>
      <c r="C203" s="386" t="s">
        <v>84</v>
      </c>
      <c r="D203" s="403"/>
      <c r="E203" s="403"/>
      <c r="F203" s="390"/>
      <c r="G203" s="423"/>
      <c r="K203" s="17"/>
    </row>
    <row r="204" spans="2:11" x14ac:dyDescent="0.3">
      <c r="B204" s="395"/>
      <c r="C204" s="386" t="s">
        <v>85</v>
      </c>
      <c r="D204" s="403"/>
      <c r="E204" s="403"/>
      <c r="F204" s="390"/>
      <c r="G204" s="423"/>
      <c r="K204" s="17"/>
    </row>
    <row r="205" spans="2:11" x14ac:dyDescent="0.3">
      <c r="B205" s="395"/>
      <c r="C205" s="386" t="s">
        <v>86</v>
      </c>
      <c r="D205" s="403"/>
      <c r="E205" s="403"/>
      <c r="F205" s="390"/>
      <c r="G205" s="423"/>
      <c r="K205" s="17"/>
    </row>
    <row r="206" spans="2:11" x14ac:dyDescent="0.3">
      <c r="B206" s="395"/>
      <c r="C206" s="386" t="s">
        <v>87</v>
      </c>
      <c r="D206" s="403"/>
      <c r="E206" s="403"/>
      <c r="F206" s="390"/>
      <c r="G206" s="423"/>
      <c r="K206" s="17"/>
    </row>
    <row r="207" spans="2:11" x14ac:dyDescent="0.3">
      <c r="B207" s="395"/>
      <c r="C207" s="386" t="s">
        <v>88</v>
      </c>
      <c r="D207" s="403"/>
      <c r="E207" s="403"/>
      <c r="F207" s="390"/>
      <c r="G207" s="423"/>
      <c r="K207" s="17"/>
    </row>
    <row r="208" spans="2:11" x14ac:dyDescent="0.3">
      <c r="B208" s="395"/>
      <c r="C208" s="386" t="s">
        <v>89</v>
      </c>
      <c r="D208" s="403"/>
      <c r="E208" s="403"/>
      <c r="F208" s="390"/>
      <c r="G208" s="423"/>
      <c r="K208" s="17"/>
    </row>
    <row r="209" spans="1:11" ht="17.25" thickBot="1" x14ac:dyDescent="0.35">
      <c r="B209" s="395"/>
      <c r="C209" s="391" t="s">
        <v>90</v>
      </c>
      <c r="D209" s="404"/>
      <c r="E209" s="404"/>
      <c r="F209" s="392"/>
      <c r="G209" s="423"/>
      <c r="K209" s="17"/>
    </row>
    <row r="210" spans="1:11" ht="17.25" thickBot="1" x14ac:dyDescent="0.35">
      <c r="B210" s="395"/>
      <c r="C210" s="388"/>
      <c r="D210" s="388"/>
      <c r="E210" s="388"/>
      <c r="F210" s="388"/>
      <c r="G210" s="428"/>
      <c r="K210" s="17"/>
    </row>
    <row r="211" spans="1:11" ht="18" thickBot="1" x14ac:dyDescent="0.4">
      <c r="B211" s="395"/>
      <c r="C211" s="913" t="s">
        <v>91</v>
      </c>
      <c r="D211" s="914"/>
      <c r="E211" s="914"/>
      <c r="F211" s="915"/>
      <c r="G211" s="423"/>
      <c r="K211" s="17"/>
    </row>
    <row r="212" spans="1:11" ht="17.25" x14ac:dyDescent="0.35">
      <c r="B212" s="400"/>
      <c r="C212" s="398"/>
      <c r="D212" s="957" t="s">
        <v>48</v>
      </c>
      <c r="E212" s="955"/>
      <c r="F212" s="956"/>
      <c r="G212" s="428"/>
      <c r="K212" s="17"/>
    </row>
    <row r="213" spans="1:11" x14ac:dyDescent="0.3">
      <c r="B213" s="395"/>
      <c r="C213" s="386" t="s">
        <v>92</v>
      </c>
      <c r="D213" s="921"/>
      <c r="E213" s="921"/>
      <c r="F213" s="922"/>
      <c r="G213" s="428"/>
      <c r="K213" s="17"/>
    </row>
    <row r="214" spans="1:11" x14ac:dyDescent="0.3">
      <c r="B214" s="395"/>
      <c r="C214" s="386" t="s">
        <v>93</v>
      </c>
      <c r="D214" s="921"/>
      <c r="E214" s="921"/>
      <c r="F214" s="922"/>
      <c r="G214" s="428"/>
      <c r="K214" s="17"/>
    </row>
    <row r="215" spans="1:11" x14ac:dyDescent="0.3">
      <c r="B215" s="395"/>
      <c r="C215" s="386" t="s">
        <v>308</v>
      </c>
      <c r="D215" s="921"/>
      <c r="E215" s="921"/>
      <c r="F215" s="922"/>
      <c r="G215" s="428"/>
      <c r="K215" s="17"/>
    </row>
    <row r="216" spans="1:11" x14ac:dyDescent="0.3">
      <c r="B216" s="395"/>
      <c r="C216" s="386" t="s">
        <v>94</v>
      </c>
      <c r="D216" s="960" t="str">
        <f>IF(D213+D215=0,"",D213+D215)</f>
        <v/>
      </c>
      <c r="E216" s="960"/>
      <c r="F216" s="961"/>
      <c r="G216" s="428"/>
      <c r="K216" s="17"/>
    </row>
    <row r="217" spans="1:11" x14ac:dyDescent="0.3">
      <c r="B217" s="395"/>
      <c r="C217" s="386" t="s">
        <v>95</v>
      </c>
      <c r="D217" s="921"/>
      <c r="E217" s="921"/>
      <c r="F217" s="922"/>
      <c r="G217" s="428"/>
      <c r="K217" s="17"/>
    </row>
    <row r="218" spans="1:11" x14ac:dyDescent="0.3">
      <c r="B218" s="395"/>
      <c r="C218" s="386" t="s">
        <v>96</v>
      </c>
      <c r="D218" s="921"/>
      <c r="E218" s="921"/>
      <c r="F218" s="922"/>
      <c r="G218" s="428"/>
      <c r="K218" s="17"/>
    </row>
    <row r="219" spans="1:11" x14ac:dyDescent="0.3">
      <c r="B219" s="395"/>
      <c r="C219" s="386" t="s">
        <v>97</v>
      </c>
      <c r="D219" s="921"/>
      <c r="E219" s="921"/>
      <c r="F219" s="922"/>
      <c r="G219" s="428"/>
      <c r="K219" s="17"/>
    </row>
    <row r="220" spans="1:11" x14ac:dyDescent="0.3">
      <c r="B220" s="395"/>
      <c r="C220" s="386" t="s">
        <v>308</v>
      </c>
      <c r="D220" s="921"/>
      <c r="E220" s="921"/>
      <c r="F220" s="922"/>
      <c r="G220" s="428"/>
      <c r="K220" s="17"/>
    </row>
    <row r="221" spans="1:11" ht="17.25" thickBot="1" x14ac:dyDescent="0.35">
      <c r="B221" s="395"/>
      <c r="C221" s="391" t="s">
        <v>94</v>
      </c>
      <c r="D221" s="958" t="str">
        <f>IF(D218+D220=0,"",D218+D220)</f>
        <v/>
      </c>
      <c r="E221" s="958"/>
      <c r="F221" s="959"/>
      <c r="G221" s="428"/>
      <c r="K221" s="17"/>
    </row>
    <row r="222" spans="1:11" ht="17.25" thickBot="1" x14ac:dyDescent="0.35">
      <c r="B222" s="416"/>
      <c r="C222" s="405"/>
      <c r="D222" s="405"/>
      <c r="E222" s="405"/>
      <c r="F222" s="405"/>
      <c r="G222" s="433"/>
      <c r="K222" s="17"/>
    </row>
    <row r="223" spans="1:11" x14ac:dyDescent="0.3">
      <c r="K223" s="17"/>
    </row>
    <row r="224" spans="1:11" s="16" customFormat="1" x14ac:dyDescent="0.3">
      <c r="A224" s="17"/>
      <c r="B224" s="17"/>
      <c r="C224" s="17"/>
      <c r="D224" s="17"/>
      <c r="E224" s="17"/>
      <c r="F224" s="17"/>
      <c r="G224" s="17"/>
      <c r="H224" s="17"/>
      <c r="I224" s="17"/>
      <c r="J224" s="17"/>
      <c r="K224"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70">
    <mergeCell ref="B2:C2"/>
    <mergeCell ref="C120:F120"/>
    <mergeCell ref="C129:F129"/>
    <mergeCell ref="C141:F141"/>
    <mergeCell ref="C156:F156"/>
    <mergeCell ref="D74:F74"/>
    <mergeCell ref="D75:F75"/>
    <mergeCell ref="D87:F87"/>
    <mergeCell ref="D76:F76"/>
    <mergeCell ref="D78:F78"/>
    <mergeCell ref="D79:F79"/>
    <mergeCell ref="D80:F80"/>
    <mergeCell ref="E2:F2"/>
    <mergeCell ref="D130:F130"/>
    <mergeCell ref="D121:F121"/>
    <mergeCell ref="D106:F106"/>
    <mergeCell ref="D144:F144"/>
    <mergeCell ref="D143:F143"/>
    <mergeCell ref="D147:F147"/>
    <mergeCell ref="D77:F77"/>
    <mergeCell ref="D73:F73"/>
    <mergeCell ref="D97:F97"/>
    <mergeCell ref="D149:F149"/>
    <mergeCell ref="D150:F150"/>
    <mergeCell ref="D148:F148"/>
    <mergeCell ref="D146:F146"/>
    <mergeCell ref="D145:F145"/>
    <mergeCell ref="H4:I4"/>
    <mergeCell ref="C16:F16"/>
    <mergeCell ref="C26:F26"/>
    <mergeCell ref="C35:F35"/>
    <mergeCell ref="C50:F50"/>
    <mergeCell ref="D36:F36"/>
    <mergeCell ref="F12:G12"/>
    <mergeCell ref="D27:F27"/>
    <mergeCell ref="D17:F17"/>
    <mergeCell ref="B14:G14"/>
    <mergeCell ref="D221:F221"/>
    <mergeCell ref="D151:F151"/>
    <mergeCell ref="B154:G154"/>
    <mergeCell ref="D218:F218"/>
    <mergeCell ref="D219:F219"/>
    <mergeCell ref="D217:F217"/>
    <mergeCell ref="D215:F215"/>
    <mergeCell ref="D216:F216"/>
    <mergeCell ref="D220:F220"/>
    <mergeCell ref="C175:F175"/>
    <mergeCell ref="C190:F190"/>
    <mergeCell ref="C199:F199"/>
    <mergeCell ref="C211:F211"/>
    <mergeCell ref="D212:F212"/>
    <mergeCell ref="D213:F213"/>
    <mergeCell ref="D214:F214"/>
    <mergeCell ref="D157:F157"/>
    <mergeCell ref="D200:F200"/>
    <mergeCell ref="D167:F167"/>
    <mergeCell ref="D176:F176"/>
    <mergeCell ref="D191:F191"/>
    <mergeCell ref="C166:F166"/>
    <mergeCell ref="D60:F60"/>
    <mergeCell ref="D51:F51"/>
    <mergeCell ref="D142:F142"/>
    <mergeCell ref="D72:F72"/>
    <mergeCell ref="D81:F81"/>
    <mergeCell ref="B84:G84"/>
    <mergeCell ref="C59:F59"/>
    <mergeCell ref="C71:F71"/>
    <mergeCell ref="C86:F86"/>
    <mergeCell ref="C96:F96"/>
    <mergeCell ref="C105:F105"/>
  </mergeCells>
  <phoneticPr fontId="26" type="noConversion"/>
  <conditionalFormatting sqref="D99:F103 D29:F33 D38:F48 D53:F57 D62:F69 D73:D81 E19:F22 D19:D24">
    <cfRule type="expression" dxfId="50" priority="9" stopIfTrue="1">
      <formula>OR($I$5 = "Central Air Conditioner", $I$6 = "Variable-Speed")</formula>
    </cfRule>
  </conditionalFormatting>
  <conditionalFormatting sqref="D89:F92 D93:D94 D108:F118 D132:F139 D123:F127 D143:D151">
    <cfRule type="expression" dxfId="49" priority="17" stopIfTrue="1">
      <formula>OR($I$5 = "Central Air Conditioner", AND($I$6 = "Single-Speed", $I$7 = "Fixed Speed"))</formula>
    </cfRule>
  </conditionalFormatting>
  <conditionalFormatting sqref="D169:F173 D178:F188 D193:F197 D202:F209 D213:D221 E159:F162 D159:D164">
    <cfRule type="expression" dxfId="48" priority="25" stopIfTrue="1">
      <formula>OR($I$5 = "Central Air Conditioner", $I$6 &lt;&gt; "Variable-Speed")</formula>
    </cfRule>
  </conditionalFormatting>
  <conditionalFormatting sqref="D12">
    <cfRule type="expression" dxfId="47" priority="3" stopIfTrue="1">
      <formula>$I$5="Central Air Conditioner"</formula>
    </cfRule>
  </conditionalFormatting>
  <conditionalFormatting sqref="D11">
    <cfRule type="expression" dxfId="46" priority="1" stopIfTrue="1">
      <formula>$I$5 = "Central Air Conditioner"</formula>
    </cfRule>
  </conditionalFormatting>
  <hyperlinks>
    <hyperlink ref="E2" location="Instructions!A1" display="Back to Instructions" xr:uid="{00000000-0004-0000-1000-000000000000}"/>
    <hyperlink ref="E2:F2" location="Instructions!A1" display="Back to Instructions tab" xr:uid="{00000000-0004-0000-1000-000001000000}"/>
  </hyperlinks>
  <pageMargins left="0.7" right="0.7" top="0.75" bottom="0.75" header="0.3" footer="0.3"/>
  <pageSetup orientation="portrait" horizontalDpi="200" verticalDpi="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0070C0"/>
  </sheetPr>
  <dimension ref="A1:K153"/>
  <sheetViews>
    <sheetView showGridLines="0" showZeros="0" zoomScale="80" zoomScaleNormal="80" workbookViewId="0">
      <selection activeCell="E2" sqref="E2:F2"/>
    </sheetView>
  </sheetViews>
  <sheetFormatPr defaultColWidth="9.140625" defaultRowHeight="16.5" x14ac:dyDescent="0.3"/>
  <cols>
    <col min="1" max="1" width="3.7109375" style="5" customWidth="1"/>
    <col min="2" max="2" width="30.28515625" style="5" customWidth="1"/>
    <col min="3" max="3" width="69" style="5" customWidth="1"/>
    <col min="4" max="6" width="13.5703125" style="5" customWidth="1"/>
    <col min="7" max="7" width="8.140625" style="5" customWidth="1"/>
    <col min="8" max="8" width="24" style="5" customWidth="1"/>
    <col min="9" max="9" width="19.140625" style="5" customWidth="1"/>
    <col min="10" max="10" width="9" style="110" customWidth="1"/>
    <col min="11" max="11" width="5.85546875" style="110" customWidth="1"/>
    <col min="12" max="16384" width="9.140625" style="5"/>
  </cols>
  <sheetData>
    <row r="1" spans="2:11" ht="17.25" thickBot="1" x14ac:dyDescent="0.35">
      <c r="J1" s="123"/>
      <c r="K1" s="17"/>
    </row>
    <row r="2" spans="2:11" s="1" customFormat="1" ht="18" thickBot="1" x14ac:dyDescent="0.35">
      <c r="B2" s="805" t="s">
        <v>622</v>
      </c>
      <c r="C2" s="806"/>
      <c r="E2" s="840" t="s">
        <v>553</v>
      </c>
      <c r="F2" s="840"/>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H3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7.25" thickBot="1" x14ac:dyDescent="0.35">
      <c r="B8" s="372" t="s">
        <v>143</v>
      </c>
      <c r="C8" s="373" t="str">
        <f>'Version Control'!C8</f>
        <v>[MM/DD/YYYY]</v>
      </c>
      <c r="G8" s="12"/>
      <c r="H8" s="8"/>
      <c r="J8" s="124"/>
      <c r="K8" s="125"/>
    </row>
    <row r="9" spans="2:11" s="1" customFormat="1" x14ac:dyDescent="0.3">
      <c r="B9" s="4"/>
      <c r="C9" s="232"/>
      <c r="G9" s="12"/>
      <c r="H9" s="8"/>
      <c r="J9" s="124"/>
      <c r="K9" s="125"/>
    </row>
    <row r="10" spans="2:11" s="1" customFormat="1" x14ac:dyDescent="0.3">
      <c r="B10" s="112"/>
      <c r="C10" s="450"/>
      <c r="D10" s="451"/>
      <c r="E10" s="451"/>
      <c r="F10" s="451"/>
      <c r="G10" s="483"/>
      <c r="H10" s="5"/>
      <c r="J10" s="124"/>
      <c r="K10" s="125"/>
    </row>
    <row r="11" spans="2:11" s="159" customFormat="1" x14ac:dyDescent="0.3">
      <c r="B11" s="509"/>
      <c r="C11" s="510" t="s">
        <v>131</v>
      </c>
      <c r="D11" s="512"/>
      <c r="E11" s="509"/>
      <c r="F11" s="920"/>
      <c r="G11" s="920"/>
      <c r="J11" s="160"/>
      <c r="K11" s="161"/>
    </row>
    <row r="12" spans="2:11" s="6" customFormat="1" ht="18" thickBot="1" x14ac:dyDescent="0.4">
      <c r="B12" s="475"/>
      <c r="C12" s="475"/>
      <c r="D12" s="475"/>
      <c r="E12" s="475"/>
      <c r="F12" s="475"/>
      <c r="G12" s="475"/>
      <c r="J12" s="111"/>
      <c r="K12" s="18"/>
    </row>
    <row r="13" spans="2:11" ht="18.75" thickBot="1" x14ac:dyDescent="0.4">
      <c r="B13" s="939" t="s">
        <v>432</v>
      </c>
      <c r="C13" s="940"/>
      <c r="D13" s="940"/>
      <c r="E13" s="940"/>
      <c r="F13" s="940"/>
      <c r="G13" s="941"/>
      <c r="K13" s="17"/>
    </row>
    <row r="14" spans="2:11" ht="18" thickBot="1" x14ac:dyDescent="0.4">
      <c r="B14" s="383"/>
      <c r="C14" s="421"/>
      <c r="D14" s="421"/>
      <c r="E14" s="421"/>
      <c r="F14" s="421"/>
      <c r="G14" s="422"/>
      <c r="K14" s="17"/>
    </row>
    <row r="15" spans="2:11" ht="18" thickBot="1" x14ac:dyDescent="0.4">
      <c r="B15" s="400"/>
      <c r="C15" s="913" t="s">
        <v>55</v>
      </c>
      <c r="D15" s="914"/>
      <c r="E15" s="914"/>
      <c r="F15" s="915"/>
      <c r="G15" s="423"/>
      <c r="K15" s="17"/>
    </row>
    <row r="16" spans="2:11" ht="17.25" x14ac:dyDescent="0.35">
      <c r="B16" s="395"/>
      <c r="C16" s="398"/>
      <c r="D16" s="957" t="s">
        <v>48</v>
      </c>
      <c r="E16" s="955"/>
      <c r="F16" s="956"/>
      <c r="G16" s="423"/>
      <c r="I16" s="127"/>
      <c r="J16" s="136"/>
      <c r="K16" s="17"/>
    </row>
    <row r="17" spans="2:11" ht="17.25" x14ac:dyDescent="0.35">
      <c r="B17" s="400"/>
      <c r="C17" s="395"/>
      <c r="D17" s="409" t="s">
        <v>56</v>
      </c>
      <c r="E17" s="409" t="s">
        <v>57</v>
      </c>
      <c r="F17" s="410" t="s">
        <v>58</v>
      </c>
      <c r="G17" s="423"/>
      <c r="I17" s="127"/>
      <c r="J17" s="136"/>
      <c r="K17" s="17"/>
    </row>
    <row r="18" spans="2:11" x14ac:dyDescent="0.3">
      <c r="B18" s="395"/>
      <c r="C18" s="386" t="s">
        <v>442</v>
      </c>
      <c r="D18" s="513"/>
      <c r="E18" s="513"/>
      <c r="F18" s="514"/>
      <c r="G18" s="423"/>
      <c r="I18" s="128"/>
      <c r="J18" s="137"/>
      <c r="K18" s="17"/>
    </row>
    <row r="19" spans="2:11" x14ac:dyDescent="0.3">
      <c r="B19" s="395"/>
      <c r="C19" s="386" t="s">
        <v>443</v>
      </c>
      <c r="D19" s="513"/>
      <c r="E19" s="513"/>
      <c r="F19" s="514"/>
      <c r="G19" s="423"/>
      <c r="I19" s="128"/>
      <c r="J19" s="137"/>
      <c r="K19" s="17"/>
    </row>
    <row r="20" spans="2:11" x14ac:dyDescent="0.3">
      <c r="B20" s="395"/>
      <c r="C20" s="386" t="s">
        <v>59</v>
      </c>
      <c r="D20" s="513"/>
      <c r="E20" s="513"/>
      <c r="F20" s="514"/>
      <c r="G20" s="423"/>
      <c r="I20" s="128"/>
      <c r="J20" s="137"/>
      <c r="K20" s="17"/>
    </row>
    <row r="21" spans="2:11" x14ac:dyDescent="0.3">
      <c r="B21" s="395"/>
      <c r="C21" s="386" t="s">
        <v>60</v>
      </c>
      <c r="D21" s="513"/>
      <c r="E21" s="513"/>
      <c r="F21" s="514"/>
      <c r="G21" s="423"/>
      <c r="I21" s="128"/>
      <c r="J21" s="137"/>
      <c r="K21" s="17"/>
    </row>
    <row r="22" spans="2:11" x14ac:dyDescent="0.3">
      <c r="B22" s="395"/>
      <c r="C22" s="386" t="s">
        <v>445</v>
      </c>
      <c r="D22" s="513"/>
      <c r="E22" s="388"/>
      <c r="F22" s="399"/>
      <c r="G22" s="423"/>
      <c r="I22" s="128"/>
      <c r="J22" s="137"/>
      <c r="K22" s="17"/>
    </row>
    <row r="23" spans="2:11" ht="17.25" thickBot="1" x14ac:dyDescent="0.35">
      <c r="B23" s="395"/>
      <c r="C23" s="391" t="s">
        <v>453</v>
      </c>
      <c r="D23" s="515"/>
      <c r="E23" s="405"/>
      <c r="F23" s="406"/>
      <c r="G23" s="423"/>
      <c r="I23" s="128"/>
      <c r="J23" s="137"/>
      <c r="K23" s="17"/>
    </row>
    <row r="24" spans="2:11" ht="17.25" thickBot="1" x14ac:dyDescent="0.35">
      <c r="B24" s="395"/>
      <c r="C24" s="407"/>
      <c r="D24" s="388"/>
      <c r="E24" s="388"/>
      <c r="F24" s="388"/>
      <c r="G24" s="428"/>
      <c r="I24" s="128"/>
      <c r="J24" s="137"/>
      <c r="K24" s="17"/>
    </row>
    <row r="25" spans="2:11" ht="18" thickBot="1" x14ac:dyDescent="0.4">
      <c r="B25" s="395"/>
      <c r="C25" s="913" t="s">
        <v>61</v>
      </c>
      <c r="D25" s="914"/>
      <c r="E25" s="914"/>
      <c r="F25" s="915"/>
      <c r="G25" s="423"/>
      <c r="I25" s="128"/>
      <c r="J25" s="137"/>
      <c r="K25" s="17"/>
    </row>
    <row r="26" spans="2:11" ht="17.25" x14ac:dyDescent="0.35">
      <c r="B26" s="395"/>
      <c r="C26" s="429"/>
      <c r="D26" s="957" t="s">
        <v>48</v>
      </c>
      <c r="E26" s="955"/>
      <c r="F26" s="956"/>
      <c r="G26" s="423"/>
      <c r="I26" s="128"/>
      <c r="J26" s="137"/>
      <c r="K26" s="17"/>
    </row>
    <row r="27" spans="2:11" ht="17.25" x14ac:dyDescent="0.35">
      <c r="B27" s="400"/>
      <c r="C27" s="408"/>
      <c r="D27" s="409" t="s">
        <v>56</v>
      </c>
      <c r="E27" s="409" t="s">
        <v>57</v>
      </c>
      <c r="F27" s="410" t="s">
        <v>58</v>
      </c>
      <c r="G27" s="423"/>
      <c r="I27" s="128"/>
      <c r="J27" s="137"/>
      <c r="K27" s="17"/>
    </row>
    <row r="28" spans="2:11" x14ac:dyDescent="0.3">
      <c r="B28" s="395"/>
      <c r="C28" s="386" t="s">
        <v>62</v>
      </c>
      <c r="D28" s="513"/>
      <c r="E28" s="513"/>
      <c r="F28" s="514"/>
      <c r="G28" s="423"/>
      <c r="I28" s="128"/>
      <c r="J28" s="137"/>
      <c r="K28" s="17"/>
    </row>
    <row r="29" spans="2:11" x14ac:dyDescent="0.3">
      <c r="B29" s="395"/>
      <c r="C29" s="386" t="s">
        <v>63</v>
      </c>
      <c r="D29" s="513"/>
      <c r="E29" s="513"/>
      <c r="F29" s="514"/>
      <c r="G29" s="423"/>
      <c r="I29" s="128"/>
      <c r="J29" s="137"/>
      <c r="K29" s="17"/>
    </row>
    <row r="30" spans="2:11" x14ac:dyDescent="0.3">
      <c r="B30" s="395"/>
      <c r="C30" s="386" t="s">
        <v>64</v>
      </c>
      <c r="D30" s="513"/>
      <c r="E30" s="513"/>
      <c r="F30" s="514"/>
      <c r="G30" s="423"/>
      <c r="I30" s="128"/>
      <c r="J30" s="137"/>
      <c r="K30" s="17"/>
    </row>
    <row r="31" spans="2:11" x14ac:dyDescent="0.3">
      <c r="B31" s="395"/>
      <c r="C31" s="386" t="s">
        <v>422</v>
      </c>
      <c r="D31" s="513"/>
      <c r="E31" s="513"/>
      <c r="F31" s="514"/>
      <c r="G31" s="423"/>
      <c r="I31" s="128"/>
      <c r="J31" s="137"/>
      <c r="K31" s="17"/>
    </row>
    <row r="32" spans="2:11" ht="17.25" thickBot="1" x14ac:dyDescent="0.35">
      <c r="B32" s="395"/>
      <c r="C32" s="391" t="s">
        <v>437</v>
      </c>
      <c r="D32" s="515"/>
      <c r="E32" s="515"/>
      <c r="F32" s="516"/>
      <c r="G32" s="423"/>
      <c r="I32" s="128"/>
      <c r="J32" s="137"/>
      <c r="K32" s="17"/>
    </row>
    <row r="33" spans="2:11" ht="17.25" thickBot="1" x14ac:dyDescent="0.35">
      <c r="B33" s="395"/>
      <c r="C33" s="388"/>
      <c r="D33" s="388"/>
      <c r="E33" s="388"/>
      <c r="F33" s="388"/>
      <c r="G33" s="428"/>
      <c r="I33" s="128"/>
      <c r="J33" s="137"/>
      <c r="K33" s="17"/>
    </row>
    <row r="34" spans="2:11" ht="18" thickBot="1" x14ac:dyDescent="0.4">
      <c r="B34" s="395"/>
      <c r="C34" s="913" t="s">
        <v>65</v>
      </c>
      <c r="D34" s="914"/>
      <c r="E34" s="914"/>
      <c r="F34" s="915"/>
      <c r="G34" s="423"/>
      <c r="I34" s="128"/>
      <c r="J34" s="137"/>
      <c r="K34" s="17"/>
    </row>
    <row r="35" spans="2:11" ht="17.25" x14ac:dyDescent="0.35">
      <c r="B35" s="395"/>
      <c r="C35" s="398"/>
      <c r="D35" s="957" t="s">
        <v>48</v>
      </c>
      <c r="E35" s="955"/>
      <c r="F35" s="956"/>
      <c r="G35" s="423"/>
      <c r="I35" s="128"/>
      <c r="J35" s="137"/>
      <c r="K35" s="17"/>
    </row>
    <row r="36" spans="2:11" ht="17.25" x14ac:dyDescent="0.35">
      <c r="B36" s="400"/>
      <c r="C36" s="395"/>
      <c r="D36" s="409" t="s">
        <v>56</v>
      </c>
      <c r="E36" s="409" t="s">
        <v>57</v>
      </c>
      <c r="F36" s="410" t="s">
        <v>58</v>
      </c>
      <c r="G36" s="423"/>
      <c r="I36" s="128"/>
      <c r="J36" s="137"/>
      <c r="K36" s="17"/>
    </row>
    <row r="37" spans="2:11" x14ac:dyDescent="0.3">
      <c r="B37" s="395"/>
      <c r="C37" s="386" t="s">
        <v>66</v>
      </c>
      <c r="D37" s="513"/>
      <c r="E37" s="513"/>
      <c r="F37" s="514"/>
      <c r="G37" s="423"/>
      <c r="I37" s="128"/>
      <c r="J37" s="137"/>
      <c r="K37" s="17"/>
    </row>
    <row r="38" spans="2:11" x14ac:dyDescent="0.3">
      <c r="B38" s="395"/>
      <c r="C38" s="386" t="s">
        <v>67</v>
      </c>
      <c r="D38" s="513"/>
      <c r="E38" s="513"/>
      <c r="F38" s="514"/>
      <c r="G38" s="423"/>
      <c r="I38" s="128"/>
      <c r="J38" s="137"/>
      <c r="K38" s="17"/>
    </row>
    <row r="39" spans="2:11" x14ac:dyDescent="0.3">
      <c r="B39" s="395"/>
      <c r="C39" s="386" t="s">
        <v>68</v>
      </c>
      <c r="D39" s="513"/>
      <c r="E39" s="513"/>
      <c r="F39" s="514"/>
      <c r="G39" s="423"/>
      <c r="I39" s="128"/>
      <c r="J39" s="137"/>
      <c r="K39" s="17"/>
    </row>
    <row r="40" spans="2:11" x14ac:dyDescent="0.3">
      <c r="B40" s="395"/>
      <c r="C40" s="386" t="s">
        <v>69</v>
      </c>
      <c r="D40" s="513"/>
      <c r="E40" s="513"/>
      <c r="F40" s="514"/>
      <c r="G40" s="423"/>
      <c r="I40" s="128"/>
      <c r="J40" s="137"/>
      <c r="K40" s="17"/>
    </row>
    <row r="41" spans="2:11" x14ac:dyDescent="0.3">
      <c r="B41" s="395"/>
      <c r="C41" s="386" t="s">
        <v>70</v>
      </c>
      <c r="D41" s="513"/>
      <c r="E41" s="513"/>
      <c r="F41" s="514"/>
      <c r="G41" s="423"/>
      <c r="I41" s="128"/>
      <c r="J41" s="137"/>
      <c r="K41" s="17"/>
    </row>
    <row r="42" spans="2:11" x14ac:dyDescent="0.3">
      <c r="B42" s="395"/>
      <c r="C42" s="386" t="s">
        <v>71</v>
      </c>
      <c r="D42" s="513"/>
      <c r="E42" s="513"/>
      <c r="F42" s="514"/>
      <c r="G42" s="423"/>
      <c r="I42" s="128"/>
      <c r="J42" s="137"/>
      <c r="K42" s="17"/>
    </row>
    <row r="43" spans="2:11" x14ac:dyDescent="0.3">
      <c r="B43" s="395"/>
      <c r="C43" s="386" t="s">
        <v>72</v>
      </c>
      <c r="D43" s="513"/>
      <c r="E43" s="513"/>
      <c r="F43" s="514"/>
      <c r="G43" s="423"/>
      <c r="I43" s="128"/>
      <c r="J43" s="137"/>
      <c r="K43" s="17"/>
    </row>
    <row r="44" spans="2:11" x14ac:dyDescent="0.3">
      <c r="B44" s="395"/>
      <c r="C44" s="386" t="s">
        <v>73</v>
      </c>
      <c r="D44" s="513"/>
      <c r="E44" s="513"/>
      <c r="F44" s="514"/>
      <c r="G44" s="423"/>
      <c r="I44" s="128"/>
      <c r="J44" s="137"/>
      <c r="K44" s="17"/>
    </row>
    <row r="45" spans="2:11" x14ac:dyDescent="0.3">
      <c r="B45" s="395"/>
      <c r="C45" s="386" t="s">
        <v>74</v>
      </c>
      <c r="D45" s="513"/>
      <c r="E45" s="513"/>
      <c r="F45" s="514"/>
      <c r="G45" s="423"/>
      <c r="I45" s="128"/>
      <c r="J45" s="137"/>
      <c r="K45" s="17"/>
    </row>
    <row r="46" spans="2:11" x14ac:dyDescent="0.3">
      <c r="B46" s="395"/>
      <c r="C46" s="386" t="s">
        <v>75</v>
      </c>
      <c r="D46" s="513"/>
      <c r="E46" s="513"/>
      <c r="F46" s="514"/>
      <c r="G46" s="423"/>
      <c r="I46" s="128"/>
      <c r="J46" s="137"/>
      <c r="K46" s="17"/>
    </row>
    <row r="47" spans="2:11" ht="17.25" thickBot="1" x14ac:dyDescent="0.35">
      <c r="B47" s="395"/>
      <c r="C47" s="391" t="s">
        <v>76</v>
      </c>
      <c r="D47" s="515"/>
      <c r="E47" s="515"/>
      <c r="F47" s="516"/>
      <c r="G47" s="423"/>
      <c r="I47" s="128"/>
      <c r="J47" s="137"/>
      <c r="K47" s="17"/>
    </row>
    <row r="48" spans="2:11" ht="17.25" thickBot="1" x14ac:dyDescent="0.35">
      <c r="B48" s="395"/>
      <c r="C48" s="388"/>
      <c r="D48" s="388"/>
      <c r="E48" s="388"/>
      <c r="F48" s="388"/>
      <c r="G48" s="428"/>
      <c r="I48" s="128"/>
      <c r="J48" s="137"/>
      <c r="K48" s="17"/>
    </row>
    <row r="49" spans="2:11" ht="18" thickBot="1" x14ac:dyDescent="0.4">
      <c r="B49" s="395"/>
      <c r="C49" s="913" t="s">
        <v>77</v>
      </c>
      <c r="D49" s="914"/>
      <c r="E49" s="914"/>
      <c r="F49" s="915"/>
      <c r="G49" s="423"/>
      <c r="I49" s="128"/>
      <c r="J49" s="137"/>
      <c r="K49" s="17"/>
    </row>
    <row r="50" spans="2:11" ht="17.25" x14ac:dyDescent="0.35">
      <c r="B50" s="395"/>
      <c r="C50" s="398"/>
      <c r="D50" s="957" t="s">
        <v>48</v>
      </c>
      <c r="E50" s="955"/>
      <c r="F50" s="956"/>
      <c r="G50" s="423"/>
      <c r="I50" s="128"/>
      <c r="J50" s="137"/>
      <c r="K50" s="17"/>
    </row>
    <row r="51" spans="2:11" ht="17.25" x14ac:dyDescent="0.35">
      <c r="B51" s="400"/>
      <c r="C51" s="395"/>
      <c r="D51" s="409" t="s">
        <v>56</v>
      </c>
      <c r="E51" s="409" t="s">
        <v>57</v>
      </c>
      <c r="F51" s="410" t="s">
        <v>58</v>
      </c>
      <c r="G51" s="423"/>
      <c r="I51" s="128"/>
      <c r="J51" s="137"/>
      <c r="K51" s="17"/>
    </row>
    <row r="52" spans="2:11" x14ac:dyDescent="0.3">
      <c r="B52" s="395"/>
      <c r="C52" s="386" t="s">
        <v>78</v>
      </c>
      <c r="D52" s="513"/>
      <c r="E52" s="513"/>
      <c r="F52" s="514"/>
      <c r="G52" s="423"/>
      <c r="I52" s="128"/>
      <c r="J52" s="137"/>
      <c r="K52" s="17"/>
    </row>
    <row r="53" spans="2:11" x14ac:dyDescent="0.3">
      <c r="B53" s="395"/>
      <c r="C53" s="386" t="s">
        <v>79</v>
      </c>
      <c r="D53" s="513"/>
      <c r="E53" s="513"/>
      <c r="F53" s="514"/>
      <c r="G53" s="423"/>
      <c r="I53" s="128"/>
      <c r="J53" s="137"/>
      <c r="K53" s="17"/>
    </row>
    <row r="54" spans="2:11" x14ac:dyDescent="0.3">
      <c r="B54" s="395"/>
      <c r="C54" s="386" t="s">
        <v>80</v>
      </c>
      <c r="D54" s="513"/>
      <c r="E54" s="513"/>
      <c r="F54" s="514"/>
      <c r="G54" s="423"/>
      <c r="I54" s="128"/>
      <c r="J54" s="137"/>
      <c r="K54" s="17"/>
    </row>
    <row r="55" spans="2:11" x14ac:dyDescent="0.3">
      <c r="B55" s="395"/>
      <c r="C55" s="386" t="s">
        <v>81</v>
      </c>
      <c r="D55" s="513"/>
      <c r="E55" s="513"/>
      <c r="F55" s="514"/>
      <c r="G55" s="423"/>
      <c r="I55" s="128"/>
      <c r="J55" s="137"/>
      <c r="K55" s="17"/>
    </row>
    <row r="56" spans="2:11" ht="17.25" thickBot="1" x14ac:dyDescent="0.35">
      <c r="B56" s="395"/>
      <c r="C56" s="412" t="s">
        <v>438</v>
      </c>
      <c r="D56" s="515"/>
      <c r="E56" s="515"/>
      <c r="F56" s="516"/>
      <c r="G56" s="423"/>
      <c r="I56" s="128"/>
      <c r="J56" s="137"/>
      <c r="K56" s="17"/>
    </row>
    <row r="57" spans="2:11" ht="17.25" thickBot="1" x14ac:dyDescent="0.35">
      <c r="B57" s="395"/>
      <c r="C57" s="388"/>
      <c r="D57" s="388"/>
      <c r="E57" s="388"/>
      <c r="F57" s="388"/>
      <c r="G57" s="428"/>
      <c r="I57" s="128"/>
      <c r="J57" s="137"/>
      <c r="K57" s="17"/>
    </row>
    <row r="58" spans="2:11" ht="18" thickBot="1" x14ac:dyDescent="0.4">
      <c r="B58" s="395"/>
      <c r="C58" s="913" t="s">
        <v>82</v>
      </c>
      <c r="D58" s="914"/>
      <c r="E58" s="914"/>
      <c r="F58" s="915"/>
      <c r="G58" s="428"/>
      <c r="I58" s="128"/>
      <c r="J58" s="137"/>
      <c r="K58" s="17"/>
    </row>
    <row r="59" spans="2:11" ht="17.25" x14ac:dyDescent="0.35">
      <c r="B59" s="395"/>
      <c r="C59" s="398"/>
      <c r="D59" s="957" t="s">
        <v>48</v>
      </c>
      <c r="E59" s="955"/>
      <c r="F59" s="956"/>
      <c r="G59" s="428"/>
      <c r="I59" s="128"/>
      <c r="J59" s="137"/>
      <c r="K59" s="17"/>
    </row>
    <row r="60" spans="2:11" ht="17.25" x14ac:dyDescent="0.35">
      <c r="B60" s="413"/>
      <c r="C60" s="395"/>
      <c r="D60" s="409" t="s">
        <v>56</v>
      </c>
      <c r="E60" s="409" t="s">
        <v>57</v>
      </c>
      <c r="F60" s="410" t="s">
        <v>58</v>
      </c>
      <c r="G60" s="428"/>
      <c r="I60" s="128"/>
      <c r="J60" s="137"/>
      <c r="K60" s="17"/>
    </row>
    <row r="61" spans="2:11" x14ac:dyDescent="0.3">
      <c r="B61" s="395"/>
      <c r="C61" s="386" t="s">
        <v>83</v>
      </c>
      <c r="D61" s="513"/>
      <c r="E61" s="513"/>
      <c r="F61" s="514"/>
      <c r="G61" s="423"/>
      <c r="I61" s="128"/>
      <c r="J61" s="137"/>
      <c r="K61" s="17"/>
    </row>
    <row r="62" spans="2:11" x14ac:dyDescent="0.3">
      <c r="B62" s="395"/>
      <c r="C62" s="386" t="s">
        <v>84</v>
      </c>
      <c r="D62" s="513"/>
      <c r="E62" s="513"/>
      <c r="F62" s="514"/>
      <c r="G62" s="423"/>
      <c r="I62" s="128"/>
      <c r="J62" s="137"/>
      <c r="K62" s="17"/>
    </row>
    <row r="63" spans="2:11" x14ac:dyDescent="0.3">
      <c r="B63" s="395"/>
      <c r="C63" s="386" t="s">
        <v>85</v>
      </c>
      <c r="D63" s="513"/>
      <c r="E63" s="513"/>
      <c r="F63" s="514"/>
      <c r="G63" s="423"/>
      <c r="I63" s="128"/>
      <c r="J63" s="137"/>
      <c r="K63" s="17"/>
    </row>
    <row r="64" spans="2:11" x14ac:dyDescent="0.3">
      <c r="B64" s="395"/>
      <c r="C64" s="386" t="s">
        <v>86</v>
      </c>
      <c r="D64" s="513"/>
      <c r="E64" s="513"/>
      <c r="F64" s="514"/>
      <c r="G64" s="423"/>
      <c r="I64" s="128"/>
      <c r="J64" s="137"/>
      <c r="K64" s="17"/>
    </row>
    <row r="65" spans="2:11" x14ac:dyDescent="0.3">
      <c r="B65" s="395"/>
      <c r="C65" s="386" t="s">
        <v>87</v>
      </c>
      <c r="D65" s="513"/>
      <c r="E65" s="513"/>
      <c r="F65" s="514"/>
      <c r="G65" s="423"/>
      <c r="I65" s="128"/>
      <c r="J65" s="137"/>
      <c r="K65" s="17"/>
    </row>
    <row r="66" spans="2:11" x14ac:dyDescent="0.3">
      <c r="B66" s="395"/>
      <c r="C66" s="386" t="s">
        <v>88</v>
      </c>
      <c r="D66" s="513"/>
      <c r="E66" s="513"/>
      <c r="F66" s="514"/>
      <c r="G66" s="423"/>
      <c r="I66" s="128"/>
      <c r="J66" s="137"/>
      <c r="K66" s="17"/>
    </row>
    <row r="67" spans="2:11" x14ac:dyDescent="0.3">
      <c r="B67" s="395"/>
      <c r="C67" s="386" t="s">
        <v>89</v>
      </c>
      <c r="D67" s="513"/>
      <c r="E67" s="513"/>
      <c r="F67" s="514"/>
      <c r="G67" s="423"/>
      <c r="I67" s="128"/>
      <c r="J67" s="137"/>
      <c r="K67" s="17"/>
    </row>
    <row r="68" spans="2:11" ht="17.25" thickBot="1" x14ac:dyDescent="0.35">
      <c r="B68" s="395"/>
      <c r="C68" s="391" t="s">
        <v>90</v>
      </c>
      <c r="D68" s="515"/>
      <c r="E68" s="515"/>
      <c r="F68" s="516"/>
      <c r="G68" s="423"/>
      <c r="I68" s="128"/>
      <c r="J68" s="137"/>
      <c r="K68" s="17"/>
    </row>
    <row r="69" spans="2:11" ht="17.25" thickBot="1" x14ac:dyDescent="0.35">
      <c r="B69" s="395"/>
      <c r="C69" s="388"/>
      <c r="D69" s="388"/>
      <c r="E69" s="388"/>
      <c r="F69" s="388"/>
      <c r="G69" s="428"/>
      <c r="I69" s="128"/>
      <c r="J69" s="137"/>
      <c r="K69" s="17"/>
    </row>
    <row r="70" spans="2:11" ht="18" thickBot="1" x14ac:dyDescent="0.4">
      <c r="B70" s="395"/>
      <c r="C70" s="913" t="s">
        <v>91</v>
      </c>
      <c r="D70" s="914"/>
      <c r="E70" s="914"/>
      <c r="F70" s="915"/>
      <c r="G70" s="423"/>
      <c r="I70" s="128"/>
      <c r="J70" s="137"/>
      <c r="K70" s="17"/>
    </row>
    <row r="71" spans="2:11" ht="17.25" x14ac:dyDescent="0.35">
      <c r="B71" s="400"/>
      <c r="C71" s="398"/>
      <c r="D71" s="957" t="s">
        <v>48</v>
      </c>
      <c r="E71" s="955"/>
      <c r="F71" s="956"/>
      <c r="G71" s="428"/>
      <c r="I71" s="128"/>
      <c r="J71" s="137"/>
      <c r="K71" s="17"/>
    </row>
    <row r="72" spans="2:11" x14ac:dyDescent="0.3">
      <c r="B72" s="395"/>
      <c r="C72" s="386" t="s">
        <v>92</v>
      </c>
      <c r="D72" s="987"/>
      <c r="E72" s="987"/>
      <c r="F72" s="988"/>
      <c r="G72" s="428"/>
      <c r="I72" s="128"/>
      <c r="J72" s="137"/>
      <c r="K72" s="17"/>
    </row>
    <row r="73" spans="2:11" x14ac:dyDescent="0.3">
      <c r="B73" s="395"/>
      <c r="C73" s="386" t="s">
        <v>93</v>
      </c>
      <c r="D73" s="987"/>
      <c r="E73" s="987"/>
      <c r="F73" s="988"/>
      <c r="G73" s="428"/>
      <c r="I73" s="128"/>
      <c r="J73" s="137"/>
      <c r="K73" s="17"/>
    </row>
    <row r="74" spans="2:11" x14ac:dyDescent="0.3">
      <c r="B74" s="395"/>
      <c r="C74" s="386" t="s">
        <v>308</v>
      </c>
      <c r="D74" s="987"/>
      <c r="E74" s="987"/>
      <c r="F74" s="988"/>
      <c r="G74" s="428"/>
      <c r="I74" s="128"/>
      <c r="J74" s="137"/>
      <c r="K74" s="17"/>
    </row>
    <row r="75" spans="2:11" x14ac:dyDescent="0.3">
      <c r="B75" s="395"/>
      <c r="C75" s="386" t="s">
        <v>94</v>
      </c>
      <c r="D75" s="989" t="str">
        <f>IF(D72+D74=0,"",D72+D74)</f>
        <v/>
      </c>
      <c r="E75" s="989"/>
      <c r="F75" s="990"/>
      <c r="G75" s="428"/>
      <c r="I75" s="129"/>
      <c r="J75" s="138"/>
      <c r="K75" s="17"/>
    </row>
    <row r="76" spans="2:11" x14ac:dyDescent="0.3">
      <c r="B76" s="395"/>
      <c r="C76" s="386" t="s">
        <v>95</v>
      </c>
      <c r="D76" s="987"/>
      <c r="E76" s="987"/>
      <c r="F76" s="988"/>
      <c r="G76" s="428"/>
      <c r="I76" s="129"/>
      <c r="J76" s="138"/>
      <c r="K76" s="17"/>
    </row>
    <row r="77" spans="2:11" x14ac:dyDescent="0.3">
      <c r="B77" s="395"/>
      <c r="C77" s="386" t="s">
        <v>96</v>
      </c>
      <c r="D77" s="987"/>
      <c r="E77" s="987"/>
      <c r="F77" s="988"/>
      <c r="G77" s="428"/>
      <c r="I77" s="129"/>
      <c r="J77" s="138"/>
      <c r="K77" s="17"/>
    </row>
    <row r="78" spans="2:11" x14ac:dyDescent="0.3">
      <c r="B78" s="395"/>
      <c r="C78" s="386" t="s">
        <v>97</v>
      </c>
      <c r="D78" s="987"/>
      <c r="E78" s="987"/>
      <c r="F78" s="988"/>
      <c r="G78" s="428"/>
      <c r="I78" s="129"/>
      <c r="J78" s="138"/>
      <c r="K78" s="17"/>
    </row>
    <row r="79" spans="2:11" x14ac:dyDescent="0.3">
      <c r="B79" s="395"/>
      <c r="C79" s="386" t="s">
        <v>308</v>
      </c>
      <c r="D79" s="987"/>
      <c r="E79" s="987"/>
      <c r="F79" s="988"/>
      <c r="G79" s="428"/>
      <c r="I79" s="129"/>
      <c r="J79" s="138"/>
      <c r="K79" s="17"/>
    </row>
    <row r="80" spans="2:11" ht="17.25" thickBot="1" x14ac:dyDescent="0.35">
      <c r="B80" s="395"/>
      <c r="C80" s="391" t="s">
        <v>94</v>
      </c>
      <c r="D80" s="991" t="str">
        <f>IF(D77+D79=0,"",D77+D79)</f>
        <v/>
      </c>
      <c r="E80" s="991"/>
      <c r="F80" s="992"/>
      <c r="G80" s="428"/>
      <c r="I80" s="130"/>
      <c r="J80" s="137"/>
      <c r="K80" s="17"/>
    </row>
    <row r="81" spans="2:11" ht="17.25" thickBot="1" x14ac:dyDescent="0.35">
      <c r="B81" s="416"/>
      <c r="C81" s="405"/>
      <c r="D81" s="405"/>
      <c r="E81" s="405"/>
      <c r="F81" s="405"/>
      <c r="G81" s="433"/>
      <c r="I81" s="130"/>
      <c r="J81" s="137"/>
      <c r="K81" s="17"/>
    </row>
    <row r="82" spans="2:11" ht="17.25" thickBot="1" x14ac:dyDescent="0.35">
      <c r="B82" s="380"/>
      <c r="C82" s="380"/>
      <c r="D82" s="380"/>
      <c r="E82" s="380"/>
      <c r="F82" s="388"/>
      <c r="G82" s="434"/>
      <c r="K82" s="17"/>
    </row>
    <row r="83" spans="2:11" ht="18.75" thickBot="1" x14ac:dyDescent="0.4">
      <c r="B83" s="939" t="s">
        <v>433</v>
      </c>
      <c r="C83" s="940"/>
      <c r="D83" s="940"/>
      <c r="E83" s="940"/>
      <c r="F83" s="940"/>
      <c r="G83" s="941"/>
      <c r="K83" s="17"/>
    </row>
    <row r="84" spans="2:11" ht="18" thickBot="1" x14ac:dyDescent="0.4">
      <c r="B84" s="383"/>
      <c r="C84" s="421"/>
      <c r="D84" s="421"/>
      <c r="E84" s="421"/>
      <c r="F84" s="421"/>
      <c r="G84" s="422"/>
      <c r="K84" s="17"/>
    </row>
    <row r="85" spans="2:11" ht="18" thickBot="1" x14ac:dyDescent="0.4">
      <c r="B85" s="400"/>
      <c r="C85" s="913" t="s">
        <v>55</v>
      </c>
      <c r="D85" s="914"/>
      <c r="E85" s="914"/>
      <c r="F85" s="915"/>
      <c r="G85" s="423"/>
      <c r="K85" s="17"/>
    </row>
    <row r="86" spans="2:11" ht="17.25" x14ac:dyDescent="0.35">
      <c r="B86" s="395"/>
      <c r="C86" s="398"/>
      <c r="D86" s="957" t="s">
        <v>48</v>
      </c>
      <c r="E86" s="955"/>
      <c r="F86" s="956"/>
      <c r="G86" s="423"/>
      <c r="K86" s="17"/>
    </row>
    <row r="87" spans="2:11" ht="17.25" x14ac:dyDescent="0.35">
      <c r="B87" s="400"/>
      <c r="C87" s="395"/>
      <c r="D87" s="409" t="s">
        <v>56</v>
      </c>
      <c r="E87" s="409" t="s">
        <v>57</v>
      </c>
      <c r="F87" s="410" t="s">
        <v>58</v>
      </c>
      <c r="G87" s="423"/>
      <c r="K87" s="17"/>
    </row>
    <row r="88" spans="2:11" x14ac:dyDescent="0.3">
      <c r="B88" s="395"/>
      <c r="C88" s="386" t="s">
        <v>442</v>
      </c>
      <c r="D88" s="513"/>
      <c r="E88" s="513"/>
      <c r="F88" s="514"/>
      <c r="G88" s="423"/>
      <c r="K88" s="17"/>
    </row>
    <row r="89" spans="2:11" x14ac:dyDescent="0.3">
      <c r="B89" s="395"/>
      <c r="C89" s="386" t="s">
        <v>443</v>
      </c>
      <c r="D89" s="513"/>
      <c r="E89" s="513"/>
      <c r="F89" s="514"/>
      <c r="G89" s="423"/>
      <c r="K89" s="17"/>
    </row>
    <row r="90" spans="2:11" x14ac:dyDescent="0.3">
      <c r="B90" s="395"/>
      <c r="C90" s="386" t="s">
        <v>59</v>
      </c>
      <c r="D90" s="513"/>
      <c r="E90" s="513"/>
      <c r="F90" s="514"/>
      <c r="G90" s="423"/>
      <c r="K90" s="17"/>
    </row>
    <row r="91" spans="2:11" x14ac:dyDescent="0.3">
      <c r="B91" s="395"/>
      <c r="C91" s="386" t="s">
        <v>60</v>
      </c>
      <c r="D91" s="513"/>
      <c r="E91" s="513"/>
      <c r="F91" s="514"/>
      <c r="G91" s="423"/>
      <c r="K91" s="17"/>
    </row>
    <row r="92" spans="2:11" x14ac:dyDescent="0.3">
      <c r="B92" s="395"/>
      <c r="C92" s="386" t="s">
        <v>445</v>
      </c>
      <c r="D92" s="513"/>
      <c r="E92" s="388"/>
      <c r="F92" s="399"/>
      <c r="G92" s="423"/>
      <c r="I92" s="128"/>
      <c r="J92" s="137"/>
      <c r="K92" s="17"/>
    </row>
    <row r="93" spans="2:11" ht="17.25" thickBot="1" x14ac:dyDescent="0.35">
      <c r="B93" s="395"/>
      <c r="C93" s="391" t="s">
        <v>453</v>
      </c>
      <c r="D93" s="515"/>
      <c r="E93" s="405"/>
      <c r="F93" s="406"/>
      <c r="G93" s="423"/>
      <c r="K93" s="17"/>
    </row>
    <row r="94" spans="2:11" ht="17.25" thickBot="1" x14ac:dyDescent="0.35">
      <c r="B94" s="395"/>
      <c r="C94" s="407"/>
      <c r="D94" s="388"/>
      <c r="E94" s="388"/>
      <c r="F94" s="388"/>
      <c r="G94" s="428"/>
      <c r="K94" s="17"/>
    </row>
    <row r="95" spans="2:11" ht="18" thickBot="1" x14ac:dyDescent="0.4">
      <c r="B95" s="395"/>
      <c r="C95" s="913" t="s">
        <v>61</v>
      </c>
      <c r="D95" s="914"/>
      <c r="E95" s="914"/>
      <c r="F95" s="915"/>
      <c r="G95" s="423"/>
      <c r="K95" s="17"/>
    </row>
    <row r="96" spans="2:11" ht="17.25" x14ac:dyDescent="0.35">
      <c r="B96" s="395"/>
      <c r="C96" s="429"/>
      <c r="D96" s="957" t="s">
        <v>48</v>
      </c>
      <c r="E96" s="955"/>
      <c r="F96" s="956"/>
      <c r="G96" s="423"/>
      <c r="K96" s="17"/>
    </row>
    <row r="97" spans="2:11" ht="17.25" x14ac:dyDescent="0.35">
      <c r="B97" s="400"/>
      <c r="C97" s="408"/>
      <c r="D97" s="409" t="s">
        <v>56</v>
      </c>
      <c r="E97" s="409" t="s">
        <v>57</v>
      </c>
      <c r="F97" s="410" t="s">
        <v>58</v>
      </c>
      <c r="G97" s="423"/>
      <c r="K97" s="17"/>
    </row>
    <row r="98" spans="2:11" x14ac:dyDescent="0.3">
      <c r="B98" s="395"/>
      <c r="C98" s="386" t="s">
        <v>62</v>
      </c>
      <c r="D98" s="513"/>
      <c r="E98" s="513"/>
      <c r="F98" s="514"/>
      <c r="G98" s="423"/>
      <c r="K98" s="17"/>
    </row>
    <row r="99" spans="2:11" x14ac:dyDescent="0.3">
      <c r="B99" s="395"/>
      <c r="C99" s="386" t="s">
        <v>63</v>
      </c>
      <c r="D99" s="513"/>
      <c r="E99" s="513"/>
      <c r="F99" s="514"/>
      <c r="G99" s="423"/>
      <c r="K99" s="17"/>
    </row>
    <row r="100" spans="2:11" x14ac:dyDescent="0.3">
      <c r="B100" s="395"/>
      <c r="C100" s="386" t="s">
        <v>64</v>
      </c>
      <c r="D100" s="513"/>
      <c r="E100" s="513"/>
      <c r="F100" s="514"/>
      <c r="G100" s="423"/>
      <c r="K100" s="17"/>
    </row>
    <row r="101" spans="2:11" x14ac:dyDescent="0.3">
      <c r="B101" s="395"/>
      <c r="C101" s="386" t="s">
        <v>422</v>
      </c>
      <c r="D101" s="513"/>
      <c r="E101" s="513"/>
      <c r="F101" s="514"/>
      <c r="G101" s="423"/>
      <c r="K101" s="17"/>
    </row>
    <row r="102" spans="2:11" ht="17.25" thickBot="1" x14ac:dyDescent="0.35">
      <c r="B102" s="395"/>
      <c r="C102" s="391" t="s">
        <v>437</v>
      </c>
      <c r="D102" s="515"/>
      <c r="E102" s="515"/>
      <c r="F102" s="516"/>
      <c r="G102" s="423"/>
      <c r="K102" s="17"/>
    </row>
    <row r="103" spans="2:11" ht="17.25" thickBot="1" x14ac:dyDescent="0.35">
      <c r="B103" s="395"/>
      <c r="C103" s="388"/>
      <c r="D103" s="388"/>
      <c r="E103" s="388"/>
      <c r="F103" s="417"/>
      <c r="G103" s="428"/>
      <c r="K103" s="17"/>
    </row>
    <row r="104" spans="2:11" ht="18" thickBot="1" x14ac:dyDescent="0.4">
      <c r="B104" s="395"/>
      <c r="C104" s="913" t="s">
        <v>65</v>
      </c>
      <c r="D104" s="914"/>
      <c r="E104" s="914"/>
      <c r="F104" s="915"/>
      <c r="G104" s="423"/>
      <c r="K104" s="17"/>
    </row>
    <row r="105" spans="2:11" ht="17.25" x14ac:dyDescent="0.35">
      <c r="B105" s="395"/>
      <c r="C105" s="398"/>
      <c r="D105" s="957" t="s">
        <v>48</v>
      </c>
      <c r="E105" s="955"/>
      <c r="F105" s="956"/>
      <c r="G105" s="423"/>
      <c r="K105" s="17"/>
    </row>
    <row r="106" spans="2:11" ht="17.25" x14ac:dyDescent="0.35">
      <c r="B106" s="400"/>
      <c r="C106" s="395"/>
      <c r="D106" s="409" t="s">
        <v>56</v>
      </c>
      <c r="E106" s="409" t="s">
        <v>57</v>
      </c>
      <c r="F106" s="410" t="s">
        <v>58</v>
      </c>
      <c r="G106" s="423"/>
      <c r="K106" s="17"/>
    </row>
    <row r="107" spans="2:11" x14ac:dyDescent="0.3">
      <c r="B107" s="395"/>
      <c r="C107" s="386" t="s">
        <v>66</v>
      </c>
      <c r="D107" s="513"/>
      <c r="E107" s="513"/>
      <c r="F107" s="514"/>
      <c r="G107" s="423"/>
      <c r="K107" s="17"/>
    </row>
    <row r="108" spans="2:11" x14ac:dyDescent="0.3">
      <c r="B108" s="395"/>
      <c r="C108" s="386" t="s">
        <v>67</v>
      </c>
      <c r="D108" s="513"/>
      <c r="E108" s="513"/>
      <c r="F108" s="514"/>
      <c r="G108" s="423"/>
      <c r="K108" s="17"/>
    </row>
    <row r="109" spans="2:11" x14ac:dyDescent="0.3">
      <c r="B109" s="395"/>
      <c r="C109" s="386" t="s">
        <v>68</v>
      </c>
      <c r="D109" s="513"/>
      <c r="E109" s="513"/>
      <c r="F109" s="514"/>
      <c r="G109" s="423"/>
      <c r="K109" s="17"/>
    </row>
    <row r="110" spans="2:11" x14ac:dyDescent="0.3">
      <c r="B110" s="395"/>
      <c r="C110" s="386" t="s">
        <v>69</v>
      </c>
      <c r="D110" s="513"/>
      <c r="E110" s="513"/>
      <c r="F110" s="514"/>
      <c r="G110" s="423"/>
      <c r="K110" s="17"/>
    </row>
    <row r="111" spans="2:11" x14ac:dyDescent="0.3">
      <c r="B111" s="395"/>
      <c r="C111" s="386" t="s">
        <v>70</v>
      </c>
      <c r="D111" s="513"/>
      <c r="E111" s="513"/>
      <c r="F111" s="514"/>
      <c r="G111" s="423"/>
      <c r="K111" s="17"/>
    </row>
    <row r="112" spans="2:11" x14ac:dyDescent="0.3">
      <c r="B112" s="395"/>
      <c r="C112" s="386" t="s">
        <v>71</v>
      </c>
      <c r="D112" s="513"/>
      <c r="E112" s="513"/>
      <c r="F112" s="514"/>
      <c r="G112" s="423"/>
      <c r="K112" s="17"/>
    </row>
    <row r="113" spans="2:11" x14ac:dyDescent="0.3">
      <c r="B113" s="395"/>
      <c r="C113" s="386" t="s">
        <v>72</v>
      </c>
      <c r="D113" s="513"/>
      <c r="E113" s="513"/>
      <c r="F113" s="514"/>
      <c r="G113" s="423"/>
      <c r="K113" s="17"/>
    </row>
    <row r="114" spans="2:11" x14ac:dyDescent="0.3">
      <c r="B114" s="395"/>
      <c r="C114" s="386" t="s">
        <v>73</v>
      </c>
      <c r="D114" s="513"/>
      <c r="E114" s="513"/>
      <c r="F114" s="514"/>
      <c r="G114" s="423"/>
      <c r="K114" s="17"/>
    </row>
    <row r="115" spans="2:11" x14ac:dyDescent="0.3">
      <c r="B115" s="395"/>
      <c r="C115" s="386" t="s">
        <v>74</v>
      </c>
      <c r="D115" s="513"/>
      <c r="E115" s="513"/>
      <c r="F115" s="514"/>
      <c r="G115" s="423"/>
      <c r="K115" s="17"/>
    </row>
    <row r="116" spans="2:11" x14ac:dyDescent="0.3">
      <c r="B116" s="395"/>
      <c r="C116" s="386" t="s">
        <v>75</v>
      </c>
      <c r="D116" s="513"/>
      <c r="E116" s="513"/>
      <c r="F116" s="514"/>
      <c r="G116" s="423"/>
      <c r="K116" s="17"/>
    </row>
    <row r="117" spans="2:11" ht="17.25" thickBot="1" x14ac:dyDescent="0.35">
      <c r="B117" s="395"/>
      <c r="C117" s="391" t="s">
        <v>76</v>
      </c>
      <c r="D117" s="515"/>
      <c r="E117" s="515"/>
      <c r="F117" s="516"/>
      <c r="G117" s="423"/>
      <c r="K117" s="17"/>
    </row>
    <row r="118" spans="2:11" ht="17.25" thickBot="1" x14ac:dyDescent="0.35">
      <c r="B118" s="395"/>
      <c r="C118" s="388"/>
      <c r="D118" s="388"/>
      <c r="E118" s="388"/>
      <c r="F118" s="388"/>
      <c r="G118" s="428"/>
      <c r="K118" s="17"/>
    </row>
    <row r="119" spans="2:11" ht="18" thickBot="1" x14ac:dyDescent="0.4">
      <c r="B119" s="395"/>
      <c r="C119" s="913" t="s">
        <v>77</v>
      </c>
      <c r="D119" s="914"/>
      <c r="E119" s="914"/>
      <c r="F119" s="915"/>
      <c r="G119" s="423"/>
      <c r="K119" s="17"/>
    </row>
    <row r="120" spans="2:11" ht="17.25" x14ac:dyDescent="0.35">
      <c r="B120" s="395"/>
      <c r="C120" s="398"/>
      <c r="D120" s="957" t="s">
        <v>48</v>
      </c>
      <c r="E120" s="955"/>
      <c r="F120" s="956"/>
      <c r="G120" s="423"/>
      <c r="K120" s="17"/>
    </row>
    <row r="121" spans="2:11" ht="17.25" x14ac:dyDescent="0.35">
      <c r="B121" s="400"/>
      <c r="C121" s="395"/>
      <c r="D121" s="409" t="s">
        <v>56</v>
      </c>
      <c r="E121" s="409" t="s">
        <v>57</v>
      </c>
      <c r="F121" s="410" t="s">
        <v>58</v>
      </c>
      <c r="G121" s="423"/>
      <c r="K121" s="17"/>
    </row>
    <row r="122" spans="2:11" x14ac:dyDescent="0.3">
      <c r="B122" s="395"/>
      <c r="C122" s="386" t="s">
        <v>306</v>
      </c>
      <c r="D122" s="513"/>
      <c r="E122" s="513"/>
      <c r="F122" s="514"/>
      <c r="G122" s="423"/>
      <c r="K122" s="17"/>
    </row>
    <row r="123" spans="2:11" x14ac:dyDescent="0.3">
      <c r="B123" s="395"/>
      <c r="C123" s="386" t="s">
        <v>307</v>
      </c>
      <c r="D123" s="513"/>
      <c r="E123" s="513"/>
      <c r="F123" s="514"/>
      <c r="G123" s="423"/>
      <c r="K123" s="17"/>
    </row>
    <row r="124" spans="2:11" x14ac:dyDescent="0.3">
      <c r="B124" s="395"/>
      <c r="C124" s="386" t="s">
        <v>80</v>
      </c>
      <c r="D124" s="513"/>
      <c r="E124" s="513"/>
      <c r="F124" s="514"/>
      <c r="G124" s="423"/>
      <c r="K124" s="17"/>
    </row>
    <row r="125" spans="2:11" x14ac:dyDescent="0.3">
      <c r="B125" s="395"/>
      <c r="C125" s="386" t="s">
        <v>81</v>
      </c>
      <c r="D125" s="513"/>
      <c r="E125" s="513"/>
      <c r="F125" s="514"/>
      <c r="G125" s="423"/>
      <c r="K125" s="17"/>
    </row>
    <row r="126" spans="2:11" ht="17.25" thickBot="1" x14ac:dyDescent="0.35">
      <c r="B126" s="395"/>
      <c r="C126" s="412" t="s">
        <v>438</v>
      </c>
      <c r="D126" s="515"/>
      <c r="E126" s="515"/>
      <c r="F126" s="516"/>
      <c r="G126" s="423"/>
      <c r="K126" s="17"/>
    </row>
    <row r="127" spans="2:11" ht="17.25" thickBot="1" x14ac:dyDescent="0.35">
      <c r="B127" s="395"/>
      <c r="C127" s="388"/>
      <c r="D127" s="388"/>
      <c r="E127" s="388"/>
      <c r="F127" s="388"/>
      <c r="G127" s="428"/>
      <c r="K127" s="17"/>
    </row>
    <row r="128" spans="2:11" ht="18" thickBot="1" x14ac:dyDescent="0.4">
      <c r="B128" s="395"/>
      <c r="C128" s="913" t="s">
        <v>82</v>
      </c>
      <c r="D128" s="914"/>
      <c r="E128" s="914"/>
      <c r="F128" s="915"/>
      <c r="G128" s="423"/>
      <c r="K128" s="17"/>
    </row>
    <row r="129" spans="2:11" ht="17.25" x14ac:dyDescent="0.35">
      <c r="B129" s="395"/>
      <c r="C129" s="398"/>
      <c r="D129" s="957" t="s">
        <v>48</v>
      </c>
      <c r="E129" s="955"/>
      <c r="F129" s="956"/>
      <c r="G129" s="423"/>
      <c r="K129" s="17"/>
    </row>
    <row r="130" spans="2:11" ht="17.25" x14ac:dyDescent="0.35">
      <c r="B130" s="413"/>
      <c r="C130" s="395"/>
      <c r="D130" s="409" t="s">
        <v>56</v>
      </c>
      <c r="E130" s="409" t="s">
        <v>57</v>
      </c>
      <c r="F130" s="410" t="s">
        <v>58</v>
      </c>
      <c r="G130" s="423"/>
      <c r="K130" s="17"/>
    </row>
    <row r="131" spans="2:11" x14ac:dyDescent="0.3">
      <c r="B131" s="395"/>
      <c r="C131" s="386" t="s">
        <v>83</v>
      </c>
      <c r="D131" s="513"/>
      <c r="E131" s="513"/>
      <c r="F131" s="514"/>
      <c r="G131" s="423"/>
      <c r="K131" s="17"/>
    </row>
    <row r="132" spans="2:11" x14ac:dyDescent="0.3">
      <c r="B132" s="395"/>
      <c r="C132" s="386" t="s">
        <v>84</v>
      </c>
      <c r="D132" s="513"/>
      <c r="E132" s="513"/>
      <c r="F132" s="514"/>
      <c r="G132" s="423"/>
      <c r="K132" s="17"/>
    </row>
    <row r="133" spans="2:11" x14ac:dyDescent="0.3">
      <c r="B133" s="395"/>
      <c r="C133" s="386" t="s">
        <v>85</v>
      </c>
      <c r="D133" s="513"/>
      <c r="E133" s="513"/>
      <c r="F133" s="514"/>
      <c r="G133" s="423"/>
      <c r="K133" s="17"/>
    </row>
    <row r="134" spans="2:11" x14ac:dyDescent="0.3">
      <c r="B134" s="395"/>
      <c r="C134" s="386" t="s">
        <v>86</v>
      </c>
      <c r="D134" s="513"/>
      <c r="E134" s="513"/>
      <c r="F134" s="514"/>
      <c r="G134" s="423"/>
      <c r="K134" s="17"/>
    </row>
    <row r="135" spans="2:11" x14ac:dyDescent="0.3">
      <c r="B135" s="395"/>
      <c r="C135" s="386" t="s">
        <v>87</v>
      </c>
      <c r="D135" s="513"/>
      <c r="E135" s="513"/>
      <c r="F135" s="514"/>
      <c r="G135" s="423"/>
      <c r="K135" s="17"/>
    </row>
    <row r="136" spans="2:11" x14ac:dyDescent="0.3">
      <c r="B136" s="395"/>
      <c r="C136" s="386" t="s">
        <v>88</v>
      </c>
      <c r="D136" s="513"/>
      <c r="E136" s="513"/>
      <c r="F136" s="514"/>
      <c r="G136" s="423"/>
      <c r="K136" s="17"/>
    </row>
    <row r="137" spans="2:11" x14ac:dyDescent="0.3">
      <c r="B137" s="395"/>
      <c r="C137" s="386" t="s">
        <v>89</v>
      </c>
      <c r="D137" s="513"/>
      <c r="E137" s="513"/>
      <c r="F137" s="514"/>
      <c r="G137" s="423"/>
      <c r="K137" s="17"/>
    </row>
    <row r="138" spans="2:11" ht="17.25" thickBot="1" x14ac:dyDescent="0.35">
      <c r="B138" s="395"/>
      <c r="C138" s="391" t="s">
        <v>90</v>
      </c>
      <c r="D138" s="515"/>
      <c r="E138" s="515"/>
      <c r="F138" s="516"/>
      <c r="G138" s="423"/>
      <c r="K138" s="17"/>
    </row>
    <row r="139" spans="2:11" ht="17.25" thickBot="1" x14ac:dyDescent="0.35">
      <c r="B139" s="395"/>
      <c r="C139" s="388"/>
      <c r="D139" s="388"/>
      <c r="E139" s="388"/>
      <c r="F139" s="417"/>
      <c r="G139" s="428"/>
      <c r="K139" s="17"/>
    </row>
    <row r="140" spans="2:11" ht="18" thickBot="1" x14ac:dyDescent="0.4">
      <c r="B140" s="395"/>
      <c r="C140" s="913" t="s">
        <v>91</v>
      </c>
      <c r="D140" s="914"/>
      <c r="E140" s="914"/>
      <c r="F140" s="915"/>
      <c r="G140" s="423"/>
      <c r="K140" s="17"/>
    </row>
    <row r="141" spans="2:11" ht="17.25" x14ac:dyDescent="0.35">
      <c r="B141" s="400"/>
      <c r="C141" s="398"/>
      <c r="D141" s="957" t="s">
        <v>48</v>
      </c>
      <c r="E141" s="955"/>
      <c r="F141" s="956"/>
      <c r="G141" s="428"/>
      <c r="K141" s="17"/>
    </row>
    <row r="142" spans="2:11" x14ac:dyDescent="0.3">
      <c r="B142" s="395"/>
      <c r="C142" s="386" t="s">
        <v>92</v>
      </c>
      <c r="D142" s="987"/>
      <c r="E142" s="987"/>
      <c r="F142" s="988"/>
      <c r="G142" s="428"/>
      <c r="K142" s="17"/>
    </row>
    <row r="143" spans="2:11" x14ac:dyDescent="0.3">
      <c r="B143" s="395"/>
      <c r="C143" s="386" t="s">
        <v>93</v>
      </c>
      <c r="D143" s="987"/>
      <c r="E143" s="987"/>
      <c r="F143" s="988"/>
      <c r="G143" s="428"/>
      <c r="K143" s="17"/>
    </row>
    <row r="144" spans="2:11" x14ac:dyDescent="0.3">
      <c r="B144" s="395"/>
      <c r="C144" s="386" t="s">
        <v>308</v>
      </c>
      <c r="D144" s="987"/>
      <c r="E144" s="987"/>
      <c r="F144" s="988"/>
      <c r="G144" s="428"/>
      <c r="K144" s="17"/>
    </row>
    <row r="145" spans="1:11" x14ac:dyDescent="0.3">
      <c r="B145" s="395"/>
      <c r="C145" s="386" t="s">
        <v>94</v>
      </c>
      <c r="D145" s="989" t="str">
        <f>IF(D142+D144=0,"",D142+D144)</f>
        <v/>
      </c>
      <c r="E145" s="989"/>
      <c r="F145" s="990"/>
      <c r="G145" s="428"/>
      <c r="K145" s="17"/>
    </row>
    <row r="146" spans="1:11" x14ac:dyDescent="0.3">
      <c r="B146" s="395"/>
      <c r="C146" s="386" t="s">
        <v>95</v>
      </c>
      <c r="D146" s="987"/>
      <c r="E146" s="987"/>
      <c r="F146" s="988"/>
      <c r="G146" s="428"/>
      <c r="K146" s="17"/>
    </row>
    <row r="147" spans="1:11" x14ac:dyDescent="0.3">
      <c r="B147" s="395"/>
      <c r="C147" s="386" t="s">
        <v>96</v>
      </c>
      <c r="D147" s="987"/>
      <c r="E147" s="987"/>
      <c r="F147" s="988"/>
      <c r="G147" s="428"/>
      <c r="K147" s="17"/>
    </row>
    <row r="148" spans="1:11" x14ac:dyDescent="0.3">
      <c r="B148" s="395"/>
      <c r="C148" s="386" t="s">
        <v>97</v>
      </c>
      <c r="D148" s="987"/>
      <c r="E148" s="987"/>
      <c r="F148" s="988"/>
      <c r="G148" s="428"/>
      <c r="K148" s="17"/>
    </row>
    <row r="149" spans="1:11" x14ac:dyDescent="0.3">
      <c r="B149" s="395"/>
      <c r="C149" s="386" t="s">
        <v>308</v>
      </c>
      <c r="D149" s="987"/>
      <c r="E149" s="987"/>
      <c r="F149" s="988"/>
      <c r="G149" s="428"/>
      <c r="K149" s="17"/>
    </row>
    <row r="150" spans="1:11" ht="17.25" thickBot="1" x14ac:dyDescent="0.35">
      <c r="B150" s="395"/>
      <c r="C150" s="391" t="s">
        <v>94</v>
      </c>
      <c r="D150" s="991" t="str">
        <f>IF(D147+D149=0,"",D147+D149)</f>
        <v/>
      </c>
      <c r="E150" s="991"/>
      <c r="F150" s="992"/>
      <c r="G150" s="428"/>
      <c r="K150" s="17"/>
    </row>
    <row r="151" spans="1:11" ht="17.25" thickBot="1" x14ac:dyDescent="0.35">
      <c r="B151" s="416"/>
      <c r="C151" s="405"/>
      <c r="D151" s="405"/>
      <c r="E151" s="405"/>
      <c r="F151" s="405"/>
      <c r="G151" s="433"/>
      <c r="K151" s="17"/>
    </row>
    <row r="152" spans="1:11" x14ac:dyDescent="0.3">
      <c r="K152" s="17"/>
    </row>
    <row r="153" spans="1:11" s="16" customFormat="1" x14ac:dyDescent="0.3">
      <c r="A153" s="17"/>
      <c r="B153" s="17"/>
      <c r="C153" s="17"/>
      <c r="D153" s="17"/>
      <c r="E153" s="17"/>
      <c r="F153" s="17"/>
      <c r="G153" s="17"/>
      <c r="H153" s="17"/>
      <c r="I153" s="17"/>
      <c r="J153" s="17"/>
      <c r="K153"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E10" sqref="E10"/>
      <pageMargins left="0.7" right="0.7" top="0.75" bottom="0.75" header="0.3" footer="0.3"/>
      <pageSetup orientation="portrait" horizontalDpi="200" verticalDpi="200" r:id="rId2"/>
    </customSheetView>
  </customSheetViews>
  <mergeCells count="48">
    <mergeCell ref="B2:C2"/>
    <mergeCell ref="D148:F148"/>
    <mergeCell ref="D143:F143"/>
    <mergeCell ref="H4:I4"/>
    <mergeCell ref="C15:F15"/>
    <mergeCell ref="C25:F25"/>
    <mergeCell ref="C34:F34"/>
    <mergeCell ref="C49:F49"/>
    <mergeCell ref="C58:F58"/>
    <mergeCell ref="C70:F70"/>
    <mergeCell ref="C85:F85"/>
    <mergeCell ref="C95:F95"/>
    <mergeCell ref="C104:F104"/>
    <mergeCell ref="C119:F119"/>
    <mergeCell ref="C128:F128"/>
    <mergeCell ref="C140:F140"/>
    <mergeCell ref="B13:G13"/>
    <mergeCell ref="D16:F16"/>
    <mergeCell ref="D71:F71"/>
    <mergeCell ref="D35:F35"/>
    <mergeCell ref="D150:F150"/>
    <mergeCell ref="D146:F146"/>
    <mergeCell ref="D76:F76"/>
    <mergeCell ref="D141:F141"/>
    <mergeCell ref="D145:F145"/>
    <mergeCell ref="D147:F147"/>
    <mergeCell ref="D77:F77"/>
    <mergeCell ref="D78:F78"/>
    <mergeCell ref="D79:F79"/>
    <mergeCell ref="D80:F80"/>
    <mergeCell ref="B83:G83"/>
    <mergeCell ref="D142:F142"/>
    <mergeCell ref="D26:F26"/>
    <mergeCell ref="D72:F72"/>
    <mergeCell ref="D144:F144"/>
    <mergeCell ref="D149:F149"/>
    <mergeCell ref="E2:F2"/>
    <mergeCell ref="D129:F129"/>
    <mergeCell ref="D120:F120"/>
    <mergeCell ref="D105:F105"/>
    <mergeCell ref="D96:F96"/>
    <mergeCell ref="D86:F86"/>
    <mergeCell ref="D59:F59"/>
    <mergeCell ref="D50:F50"/>
    <mergeCell ref="D73:F73"/>
    <mergeCell ref="D74:F74"/>
    <mergeCell ref="D75:F75"/>
    <mergeCell ref="F11:G11"/>
  </mergeCells>
  <phoneticPr fontId="26" type="noConversion"/>
  <conditionalFormatting sqref="D11">
    <cfRule type="expression" dxfId="45" priority="5" stopIfTrue="1">
      <formula>$I$5 = "Central Air Conditioner"</formula>
    </cfRule>
  </conditionalFormatting>
  <conditionalFormatting sqref="D28:F32 D37:F47 D52:F56 D61:F68 D18:D23 E18:F21 D72:D80">
    <cfRule type="expression" dxfId="44" priority="6" stopIfTrue="1">
      <formula>OR($I$5 = "Central Air Conditioner", $I$6 = "Variable-Speed")</formula>
    </cfRule>
  </conditionalFormatting>
  <conditionalFormatting sqref="E88:F91 E107:F117 D114:D117 D124:F126 D145 D148:D150">
    <cfRule type="expression" dxfId="43" priority="18" stopIfTrue="1">
      <formula>OR($I$5 = "Central Air Conditioner", AND($I$6 = "Single-Speed", $I$7 = "Fixed Speed"))</formula>
    </cfRule>
  </conditionalFormatting>
  <hyperlinks>
    <hyperlink ref="E2" location="Instructions!A1" display="Back to Instructions" xr:uid="{00000000-0004-0000-1100-000000000000}"/>
    <hyperlink ref="E2:F2" location="Instructions!A1" display="Back to Instructions tab" xr:uid="{00000000-0004-0000-1100-000001000000}"/>
  </hyperlinks>
  <pageMargins left="0.7" right="0.7" top="0.75" bottom="0.75" header="0.3" footer="0.3"/>
  <pageSetup orientation="portrait" horizontalDpi="200" verticalDpi="2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70C0"/>
  </sheetPr>
  <dimension ref="A1:K83"/>
  <sheetViews>
    <sheetView showGridLines="0" showZeros="0" zoomScale="80" zoomScaleNormal="80" workbookViewId="0">
      <selection activeCell="E2" sqref="E2:F2"/>
    </sheetView>
  </sheetViews>
  <sheetFormatPr defaultColWidth="9.140625" defaultRowHeight="16.5" x14ac:dyDescent="0.3"/>
  <cols>
    <col min="1" max="1" width="6.28515625" style="5" customWidth="1"/>
    <col min="2" max="2" width="32" style="5" customWidth="1"/>
    <col min="3" max="3" width="69.42578125" style="5" customWidth="1"/>
    <col min="4" max="6" width="15.140625" style="5" customWidth="1"/>
    <col min="7" max="7" width="7.42578125" style="5" customWidth="1"/>
    <col min="8" max="8" width="25" style="5" customWidth="1"/>
    <col min="9" max="9" width="20.7109375" style="5" bestFit="1" customWidth="1"/>
    <col min="10" max="10" width="8.42578125" style="110" customWidth="1"/>
    <col min="11" max="11" width="4.7109375" style="5" customWidth="1"/>
    <col min="12" max="16384" width="9.140625" style="5"/>
  </cols>
  <sheetData>
    <row r="1" spans="2:11" ht="17.25" thickBot="1" x14ac:dyDescent="0.35">
      <c r="J1" s="123"/>
      <c r="K1" s="17"/>
    </row>
    <row r="2" spans="2:11" s="1" customFormat="1" ht="18" thickBot="1" x14ac:dyDescent="0.35">
      <c r="B2" s="805" t="s">
        <v>622</v>
      </c>
      <c r="C2" s="806"/>
      <c r="E2" s="840" t="s">
        <v>553</v>
      </c>
      <c r="F2" s="840"/>
      <c r="J2" s="124"/>
      <c r="K2" s="125"/>
    </row>
    <row r="3" spans="2:11" s="1" customFormat="1" ht="17.25" thickBot="1" x14ac:dyDescent="0.35">
      <c r="B3" s="365" t="s">
        <v>623</v>
      </c>
      <c r="C3" s="366" t="str">
        <f>'Version Control'!C3</f>
        <v>Commercial Air Conditioner and Heat Pump</v>
      </c>
      <c r="J3" s="124"/>
      <c r="K3" s="125"/>
    </row>
    <row r="4" spans="2:11" s="1" customFormat="1" ht="18" thickBot="1" x14ac:dyDescent="0.35">
      <c r="B4" s="367" t="s">
        <v>142</v>
      </c>
      <c r="C4" s="368" t="str">
        <f>'Version Control'!C4</f>
        <v>v2.2</v>
      </c>
      <c r="H4" s="802" t="s">
        <v>351</v>
      </c>
      <c r="I4" s="804"/>
      <c r="J4" s="124"/>
      <c r="K4" s="125"/>
    </row>
    <row r="5" spans="2:11" s="1" customFormat="1" x14ac:dyDescent="0.3">
      <c r="B5" s="367" t="s">
        <v>475</v>
      </c>
      <c r="C5" s="369">
        <f>'Version Control'!C5</f>
        <v>43353</v>
      </c>
      <c r="H5" s="51" t="s">
        <v>160</v>
      </c>
      <c r="I5" s="337">
        <f>'General Info and Test Results'!C24</f>
        <v>0</v>
      </c>
      <c r="J5" s="124"/>
      <c r="K5" s="125"/>
    </row>
    <row r="6" spans="2:11" s="1" customFormat="1" x14ac:dyDescent="0.3">
      <c r="B6" s="370" t="s">
        <v>141</v>
      </c>
      <c r="C6" s="371" t="str">
        <f ca="1">MID(CELL("filename",$A$1), FIND("]", CELL("filename", $A$1))+ 1, 255)</f>
        <v>Optional H0C Test Recorded Data</v>
      </c>
      <c r="H6" s="52" t="s">
        <v>155</v>
      </c>
      <c r="I6" s="338">
        <f>'General Info and Test Results'!C25</f>
        <v>0</v>
      </c>
      <c r="J6" s="124"/>
      <c r="K6" s="125"/>
    </row>
    <row r="7" spans="2: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2:11" s="1" customFormat="1" ht="18" customHeight="1" thickBot="1" x14ac:dyDescent="0.35">
      <c r="B8" s="372" t="s">
        <v>143</v>
      </c>
      <c r="C8" s="373" t="str">
        <f>'Version Control'!C8</f>
        <v>[MM/DD/YYYY]</v>
      </c>
      <c r="G8" s="12"/>
      <c r="H8" s="8"/>
      <c r="J8" s="124"/>
      <c r="K8" s="125"/>
    </row>
    <row r="9" spans="2:11" s="1" customFormat="1" ht="18" customHeight="1" x14ac:dyDescent="0.3">
      <c r="B9" s="4"/>
      <c r="C9" s="232"/>
      <c r="G9" s="12"/>
      <c r="H9" s="8"/>
      <c r="J9" s="124"/>
      <c r="K9" s="125"/>
    </row>
    <row r="10" spans="2:11" s="1" customFormat="1" ht="17.25" thickBot="1" x14ac:dyDescent="0.35">
      <c r="B10" s="112"/>
      <c r="C10" s="450"/>
      <c r="D10" s="451"/>
      <c r="E10" s="451"/>
      <c r="F10" s="451"/>
      <c r="G10" s="483"/>
      <c r="H10" s="5"/>
      <c r="J10" s="124"/>
      <c r="K10" s="125"/>
    </row>
    <row r="11" spans="2:11" ht="18.75" thickBot="1" x14ac:dyDescent="0.4">
      <c r="B11" s="939" t="s">
        <v>434</v>
      </c>
      <c r="C11" s="940"/>
      <c r="D11" s="940"/>
      <c r="E11" s="940"/>
      <c r="F11" s="940"/>
      <c r="G11" s="941"/>
      <c r="K11" s="17"/>
    </row>
    <row r="12" spans="2:11" ht="18" x14ac:dyDescent="0.35">
      <c r="B12" s="517"/>
      <c r="C12" s="421"/>
      <c r="D12" s="421"/>
      <c r="E12" s="421"/>
      <c r="F12" s="421"/>
      <c r="G12" s="422"/>
      <c r="K12" s="17"/>
    </row>
    <row r="13" spans="2:11" ht="17.25" x14ac:dyDescent="0.35">
      <c r="B13" s="400"/>
      <c r="C13" s="457" t="s">
        <v>487</v>
      </c>
      <c r="D13" s="454"/>
      <c r="E13" s="388"/>
      <c r="F13" s="388"/>
      <c r="G13" s="428"/>
      <c r="H13" s="134"/>
      <c r="K13" s="17"/>
    </row>
    <row r="14" spans="2:11" ht="18" thickBot="1" x14ac:dyDescent="0.4">
      <c r="B14" s="400"/>
      <c r="C14" s="388"/>
      <c r="D14" s="388"/>
      <c r="E14" s="388"/>
      <c r="F14" s="405"/>
      <c r="G14" s="428"/>
      <c r="K14" s="17"/>
    </row>
    <row r="15" spans="2:11" ht="18" thickBot="1" x14ac:dyDescent="0.4">
      <c r="B15" s="400"/>
      <c r="C15" s="913" t="s">
        <v>55</v>
      </c>
      <c r="D15" s="914"/>
      <c r="E15" s="914"/>
      <c r="F15" s="915"/>
      <c r="G15" s="428"/>
      <c r="K15" s="17"/>
    </row>
    <row r="16" spans="2:11" ht="17.25" x14ac:dyDescent="0.35">
      <c r="B16" s="395"/>
      <c r="C16" s="398"/>
      <c r="D16" s="957" t="s">
        <v>48</v>
      </c>
      <c r="E16" s="955"/>
      <c r="F16" s="956"/>
      <c r="G16" s="428"/>
      <c r="I16" s="127"/>
      <c r="J16" s="136"/>
      <c r="K16" s="17"/>
    </row>
    <row r="17" spans="2:11" ht="17.25" x14ac:dyDescent="0.35">
      <c r="B17" s="400"/>
      <c r="C17" s="395"/>
      <c r="D17" s="409" t="s">
        <v>56</v>
      </c>
      <c r="E17" s="409" t="s">
        <v>57</v>
      </c>
      <c r="F17" s="410" t="s">
        <v>58</v>
      </c>
      <c r="G17" s="428"/>
      <c r="I17" s="127"/>
      <c r="J17" s="136"/>
      <c r="K17" s="17"/>
    </row>
    <row r="18" spans="2:11" x14ac:dyDescent="0.3">
      <c r="B18" s="395"/>
      <c r="C18" s="386" t="s">
        <v>442</v>
      </c>
      <c r="D18" s="403"/>
      <c r="E18" s="403"/>
      <c r="F18" s="390"/>
      <c r="G18" s="428"/>
      <c r="I18" s="128"/>
      <c r="J18" s="137"/>
      <c r="K18" s="17"/>
    </row>
    <row r="19" spans="2:11" x14ac:dyDescent="0.3">
      <c r="B19" s="395"/>
      <c r="C19" s="386" t="s">
        <v>443</v>
      </c>
      <c r="D19" s="403"/>
      <c r="E19" s="403"/>
      <c r="F19" s="390"/>
      <c r="G19" s="428"/>
      <c r="I19" s="128"/>
      <c r="J19" s="137"/>
      <c r="K19" s="17"/>
    </row>
    <row r="20" spans="2:11" x14ac:dyDescent="0.3">
      <c r="B20" s="395"/>
      <c r="C20" s="386" t="s">
        <v>59</v>
      </c>
      <c r="D20" s="403"/>
      <c r="E20" s="403"/>
      <c r="F20" s="390"/>
      <c r="G20" s="428"/>
      <c r="I20" s="128"/>
      <c r="J20" s="137"/>
      <c r="K20" s="17"/>
    </row>
    <row r="21" spans="2:11" x14ac:dyDescent="0.3">
      <c r="B21" s="395"/>
      <c r="C21" s="386" t="s">
        <v>60</v>
      </c>
      <c r="D21" s="403"/>
      <c r="E21" s="403"/>
      <c r="F21" s="390"/>
      <c r="G21" s="428"/>
      <c r="I21" s="128"/>
      <c r="J21" s="137"/>
      <c r="K21" s="17"/>
    </row>
    <row r="22" spans="2:11" x14ac:dyDescent="0.3">
      <c r="B22" s="395"/>
      <c r="C22" s="386" t="s">
        <v>445</v>
      </c>
      <c r="D22" s="403"/>
      <c r="E22" s="388"/>
      <c r="F22" s="399"/>
      <c r="G22" s="428"/>
      <c r="I22" s="128"/>
      <c r="J22" s="137"/>
      <c r="K22" s="17"/>
    </row>
    <row r="23" spans="2:11" ht="17.25" thickBot="1" x14ac:dyDescent="0.35">
      <c r="B23" s="395"/>
      <c r="C23" s="391" t="s">
        <v>454</v>
      </c>
      <c r="D23" s="404"/>
      <c r="E23" s="405"/>
      <c r="F23" s="406"/>
      <c r="G23" s="428"/>
      <c r="I23" s="128"/>
      <c r="J23" s="137"/>
      <c r="K23" s="17"/>
    </row>
    <row r="24" spans="2:11" ht="17.25" thickBot="1" x14ac:dyDescent="0.35">
      <c r="B24" s="395"/>
      <c r="C24" s="407"/>
      <c r="D24" s="388"/>
      <c r="E24" s="388"/>
      <c r="F24" s="388"/>
      <c r="G24" s="428"/>
      <c r="I24" s="128"/>
      <c r="J24" s="137"/>
      <c r="K24" s="17"/>
    </row>
    <row r="25" spans="2:11" ht="18" thickBot="1" x14ac:dyDescent="0.4">
      <c r="B25" s="395"/>
      <c r="C25" s="913" t="s">
        <v>61</v>
      </c>
      <c r="D25" s="914"/>
      <c r="E25" s="914"/>
      <c r="F25" s="915"/>
      <c r="G25" s="428"/>
      <c r="I25" s="128"/>
      <c r="J25" s="137"/>
      <c r="K25" s="17"/>
    </row>
    <row r="26" spans="2:11" ht="17.25" x14ac:dyDescent="0.35">
      <c r="B26" s="395"/>
      <c r="C26" s="429"/>
      <c r="D26" s="957" t="s">
        <v>48</v>
      </c>
      <c r="E26" s="955"/>
      <c r="F26" s="956"/>
      <c r="G26" s="428"/>
      <c r="I26" s="128"/>
      <c r="J26" s="137"/>
      <c r="K26" s="17"/>
    </row>
    <row r="27" spans="2:11" ht="17.25" x14ac:dyDescent="0.35">
      <c r="B27" s="400"/>
      <c r="C27" s="408"/>
      <c r="D27" s="409" t="s">
        <v>56</v>
      </c>
      <c r="E27" s="409" t="s">
        <v>57</v>
      </c>
      <c r="F27" s="410" t="s">
        <v>58</v>
      </c>
      <c r="G27" s="428"/>
      <c r="I27" s="128"/>
      <c r="J27" s="137"/>
      <c r="K27" s="17"/>
    </row>
    <row r="28" spans="2:11" x14ac:dyDescent="0.3">
      <c r="B28" s="395"/>
      <c r="C28" s="386" t="s">
        <v>62</v>
      </c>
      <c r="D28" s="403"/>
      <c r="E28" s="403"/>
      <c r="F28" s="390"/>
      <c r="G28" s="428"/>
      <c r="I28" s="128"/>
      <c r="J28" s="137"/>
      <c r="K28" s="17"/>
    </row>
    <row r="29" spans="2:11" x14ac:dyDescent="0.3">
      <c r="B29" s="395"/>
      <c r="C29" s="386" t="s">
        <v>63</v>
      </c>
      <c r="D29" s="403"/>
      <c r="E29" s="403"/>
      <c r="F29" s="390"/>
      <c r="G29" s="428"/>
      <c r="I29" s="128"/>
      <c r="J29" s="137"/>
      <c r="K29" s="17"/>
    </row>
    <row r="30" spans="2:11" x14ac:dyDescent="0.3">
      <c r="B30" s="395"/>
      <c r="C30" s="386" t="s">
        <v>64</v>
      </c>
      <c r="D30" s="403"/>
      <c r="E30" s="403"/>
      <c r="F30" s="390"/>
      <c r="G30" s="428"/>
      <c r="I30" s="128"/>
      <c r="J30" s="137"/>
      <c r="K30" s="17"/>
    </row>
    <row r="31" spans="2:11" x14ac:dyDescent="0.3">
      <c r="B31" s="395"/>
      <c r="C31" s="386" t="s">
        <v>422</v>
      </c>
      <c r="D31" s="403"/>
      <c r="E31" s="403"/>
      <c r="F31" s="390"/>
      <c r="G31" s="428"/>
      <c r="I31" s="128"/>
      <c r="J31" s="137"/>
      <c r="K31" s="17"/>
    </row>
    <row r="32" spans="2:11" ht="17.25" thickBot="1" x14ac:dyDescent="0.35">
      <c r="B32" s="395"/>
      <c r="C32" s="391" t="s">
        <v>437</v>
      </c>
      <c r="D32" s="404"/>
      <c r="E32" s="404"/>
      <c r="F32" s="392"/>
      <c r="G32" s="428"/>
      <c r="I32" s="128"/>
      <c r="J32" s="137"/>
      <c r="K32" s="17"/>
    </row>
    <row r="33" spans="2:11" ht="17.25" thickBot="1" x14ac:dyDescent="0.35">
      <c r="B33" s="395"/>
      <c r="C33" s="388"/>
      <c r="D33" s="388"/>
      <c r="E33" s="388"/>
      <c r="F33" s="388"/>
      <c r="G33" s="428"/>
      <c r="I33" s="128"/>
      <c r="J33" s="137"/>
      <c r="K33" s="17"/>
    </row>
    <row r="34" spans="2:11" ht="18" thickBot="1" x14ac:dyDescent="0.4">
      <c r="B34" s="395"/>
      <c r="C34" s="913" t="s">
        <v>65</v>
      </c>
      <c r="D34" s="914"/>
      <c r="E34" s="914"/>
      <c r="F34" s="915"/>
      <c r="G34" s="428"/>
      <c r="I34" s="128"/>
      <c r="J34" s="137"/>
      <c r="K34" s="17"/>
    </row>
    <row r="35" spans="2:11" ht="17.25" x14ac:dyDescent="0.35">
      <c r="B35" s="395"/>
      <c r="C35" s="398"/>
      <c r="D35" s="957" t="s">
        <v>48</v>
      </c>
      <c r="E35" s="955"/>
      <c r="F35" s="956"/>
      <c r="G35" s="428"/>
      <c r="I35" s="128"/>
      <c r="J35" s="137"/>
      <c r="K35" s="17"/>
    </row>
    <row r="36" spans="2:11" ht="17.25" x14ac:dyDescent="0.35">
      <c r="B36" s="400"/>
      <c r="C36" s="395"/>
      <c r="D36" s="409" t="s">
        <v>56</v>
      </c>
      <c r="E36" s="409" t="s">
        <v>57</v>
      </c>
      <c r="F36" s="410" t="s">
        <v>58</v>
      </c>
      <c r="G36" s="428"/>
      <c r="I36" s="128"/>
      <c r="J36" s="137"/>
      <c r="K36" s="17"/>
    </row>
    <row r="37" spans="2:11" x14ac:dyDescent="0.3">
      <c r="B37" s="395"/>
      <c r="C37" s="518" t="s">
        <v>66</v>
      </c>
      <c r="D37" s="403"/>
      <c r="E37" s="403"/>
      <c r="F37" s="390"/>
      <c r="G37" s="428"/>
      <c r="I37" s="128"/>
      <c r="J37" s="137"/>
      <c r="K37" s="17"/>
    </row>
    <row r="38" spans="2:11" x14ac:dyDescent="0.3">
      <c r="B38" s="395"/>
      <c r="C38" s="386" t="s">
        <v>67</v>
      </c>
      <c r="D38" s="403"/>
      <c r="E38" s="403"/>
      <c r="F38" s="390"/>
      <c r="G38" s="428"/>
      <c r="I38" s="128"/>
      <c r="J38" s="137"/>
      <c r="K38" s="17"/>
    </row>
    <row r="39" spans="2:11" x14ac:dyDescent="0.3">
      <c r="B39" s="395"/>
      <c r="C39" s="386" t="s">
        <v>68</v>
      </c>
      <c r="D39" s="403"/>
      <c r="E39" s="403"/>
      <c r="F39" s="390"/>
      <c r="G39" s="428"/>
      <c r="I39" s="128"/>
      <c r="J39" s="137"/>
      <c r="K39" s="17"/>
    </row>
    <row r="40" spans="2:11" x14ac:dyDescent="0.3">
      <c r="B40" s="395"/>
      <c r="C40" s="386" t="s">
        <v>69</v>
      </c>
      <c r="D40" s="403"/>
      <c r="E40" s="403"/>
      <c r="F40" s="390"/>
      <c r="G40" s="428"/>
      <c r="I40" s="128"/>
      <c r="J40" s="137"/>
      <c r="K40" s="17"/>
    </row>
    <row r="41" spans="2:11" x14ac:dyDescent="0.3">
      <c r="B41" s="395"/>
      <c r="C41" s="386" t="s">
        <v>70</v>
      </c>
      <c r="D41" s="403"/>
      <c r="E41" s="403"/>
      <c r="F41" s="390"/>
      <c r="G41" s="428"/>
      <c r="I41" s="128"/>
      <c r="J41" s="137"/>
      <c r="K41" s="17"/>
    </row>
    <row r="42" spans="2:11" x14ac:dyDescent="0.3">
      <c r="B42" s="395"/>
      <c r="C42" s="386" t="s">
        <v>71</v>
      </c>
      <c r="D42" s="403"/>
      <c r="E42" s="403"/>
      <c r="F42" s="390"/>
      <c r="G42" s="428"/>
      <c r="I42" s="128"/>
      <c r="J42" s="137"/>
      <c r="K42" s="17"/>
    </row>
    <row r="43" spans="2:11" x14ac:dyDescent="0.3">
      <c r="B43" s="395"/>
      <c r="C43" s="386" t="s">
        <v>72</v>
      </c>
      <c r="D43" s="403"/>
      <c r="E43" s="403"/>
      <c r="F43" s="390"/>
      <c r="G43" s="428"/>
      <c r="I43" s="128"/>
      <c r="J43" s="137"/>
      <c r="K43" s="17"/>
    </row>
    <row r="44" spans="2:11" x14ac:dyDescent="0.3">
      <c r="B44" s="395"/>
      <c r="C44" s="386" t="s">
        <v>73</v>
      </c>
      <c r="D44" s="403"/>
      <c r="E44" s="403"/>
      <c r="F44" s="390"/>
      <c r="G44" s="428"/>
      <c r="I44" s="128"/>
      <c r="J44" s="137"/>
      <c r="K44" s="17"/>
    </row>
    <row r="45" spans="2:11" x14ac:dyDescent="0.3">
      <c r="B45" s="395"/>
      <c r="C45" s="386" t="s">
        <v>74</v>
      </c>
      <c r="D45" s="403"/>
      <c r="E45" s="403"/>
      <c r="F45" s="390"/>
      <c r="G45" s="428"/>
      <c r="I45" s="128"/>
      <c r="J45" s="137"/>
      <c r="K45" s="17"/>
    </row>
    <row r="46" spans="2:11" x14ac:dyDescent="0.3">
      <c r="B46" s="395"/>
      <c r="C46" s="386" t="s">
        <v>75</v>
      </c>
      <c r="D46" s="403"/>
      <c r="E46" s="403"/>
      <c r="F46" s="390"/>
      <c r="G46" s="428"/>
      <c r="I46" s="128"/>
      <c r="J46" s="137"/>
      <c r="K46" s="17"/>
    </row>
    <row r="47" spans="2:11" ht="17.25" thickBot="1" x14ac:dyDescent="0.35">
      <c r="B47" s="395"/>
      <c r="C47" s="391" t="s">
        <v>76</v>
      </c>
      <c r="D47" s="404"/>
      <c r="E47" s="404"/>
      <c r="F47" s="392"/>
      <c r="G47" s="428"/>
      <c r="I47" s="128"/>
      <c r="J47" s="137"/>
      <c r="K47" s="17"/>
    </row>
    <row r="48" spans="2:11" ht="17.25" thickBot="1" x14ac:dyDescent="0.35">
      <c r="B48" s="395"/>
      <c r="C48" s="388"/>
      <c r="D48" s="388"/>
      <c r="E48" s="388"/>
      <c r="F48" s="388"/>
      <c r="G48" s="428"/>
      <c r="I48" s="128"/>
      <c r="J48" s="137"/>
      <c r="K48" s="17"/>
    </row>
    <row r="49" spans="2:11" ht="18" thickBot="1" x14ac:dyDescent="0.4">
      <c r="B49" s="395"/>
      <c r="C49" s="913" t="s">
        <v>77</v>
      </c>
      <c r="D49" s="914"/>
      <c r="E49" s="914"/>
      <c r="F49" s="915"/>
      <c r="G49" s="428"/>
      <c r="I49" s="128"/>
      <c r="J49" s="137"/>
      <c r="K49" s="17"/>
    </row>
    <row r="50" spans="2:11" ht="17.25" x14ac:dyDescent="0.35">
      <c r="B50" s="395"/>
      <c r="C50" s="398"/>
      <c r="D50" s="957" t="s">
        <v>48</v>
      </c>
      <c r="E50" s="955"/>
      <c r="F50" s="956"/>
      <c r="G50" s="428"/>
      <c r="I50" s="128"/>
      <c r="J50" s="137"/>
      <c r="K50" s="17"/>
    </row>
    <row r="51" spans="2:11" ht="17.25" x14ac:dyDescent="0.35">
      <c r="B51" s="400"/>
      <c r="C51" s="395"/>
      <c r="D51" s="409" t="s">
        <v>56</v>
      </c>
      <c r="E51" s="409" t="s">
        <v>57</v>
      </c>
      <c r="F51" s="410" t="s">
        <v>58</v>
      </c>
      <c r="G51" s="428"/>
      <c r="I51" s="128"/>
      <c r="J51" s="137"/>
      <c r="K51" s="17"/>
    </row>
    <row r="52" spans="2:11" x14ac:dyDescent="0.3">
      <c r="B52" s="395"/>
      <c r="C52" s="386" t="s">
        <v>306</v>
      </c>
      <c r="D52" s="403"/>
      <c r="E52" s="403"/>
      <c r="F52" s="390"/>
      <c r="G52" s="428"/>
      <c r="I52" s="128"/>
      <c r="J52" s="137"/>
      <c r="K52" s="17"/>
    </row>
    <row r="53" spans="2:11" x14ac:dyDescent="0.3">
      <c r="B53" s="395"/>
      <c r="C53" s="386" t="s">
        <v>307</v>
      </c>
      <c r="D53" s="403"/>
      <c r="E53" s="403"/>
      <c r="F53" s="390"/>
      <c r="G53" s="428"/>
      <c r="I53" s="128"/>
      <c r="J53" s="137"/>
      <c r="K53" s="17"/>
    </row>
    <row r="54" spans="2:11" x14ac:dyDescent="0.3">
      <c r="B54" s="395"/>
      <c r="C54" s="386" t="s">
        <v>80</v>
      </c>
      <c r="D54" s="403"/>
      <c r="E54" s="403"/>
      <c r="F54" s="390"/>
      <c r="G54" s="428"/>
      <c r="I54" s="128"/>
      <c r="J54" s="137"/>
      <c r="K54" s="17"/>
    </row>
    <row r="55" spans="2:11" x14ac:dyDescent="0.3">
      <c r="B55" s="395"/>
      <c r="C55" s="386" t="s">
        <v>81</v>
      </c>
      <c r="D55" s="403"/>
      <c r="E55" s="403"/>
      <c r="F55" s="390"/>
      <c r="G55" s="428"/>
      <c r="I55" s="128"/>
      <c r="J55" s="137"/>
      <c r="K55" s="17"/>
    </row>
    <row r="56" spans="2:11" ht="17.25" thickBot="1" x14ac:dyDescent="0.35">
      <c r="B56" s="395"/>
      <c r="C56" s="412" t="s">
        <v>438</v>
      </c>
      <c r="D56" s="404"/>
      <c r="E56" s="404"/>
      <c r="F56" s="392"/>
      <c r="G56" s="428"/>
      <c r="I56" s="128"/>
      <c r="J56" s="137"/>
      <c r="K56" s="17"/>
    </row>
    <row r="57" spans="2:11" ht="17.25" thickBot="1" x14ac:dyDescent="0.35">
      <c r="B57" s="395"/>
      <c r="C57" s="388"/>
      <c r="D57" s="388"/>
      <c r="E57" s="388"/>
      <c r="F57" s="388"/>
      <c r="G57" s="428"/>
      <c r="I57" s="128"/>
      <c r="J57" s="137"/>
      <c r="K57" s="17"/>
    </row>
    <row r="58" spans="2:11" ht="18" thickBot="1" x14ac:dyDescent="0.4">
      <c r="B58" s="395"/>
      <c r="C58" s="913" t="s">
        <v>82</v>
      </c>
      <c r="D58" s="914"/>
      <c r="E58" s="914"/>
      <c r="F58" s="915"/>
      <c r="G58" s="428"/>
      <c r="I58" s="128"/>
      <c r="J58" s="137"/>
      <c r="K58" s="17"/>
    </row>
    <row r="59" spans="2:11" ht="17.25" x14ac:dyDescent="0.35">
      <c r="B59" s="395"/>
      <c r="C59" s="398"/>
      <c r="D59" s="957" t="s">
        <v>48</v>
      </c>
      <c r="E59" s="955"/>
      <c r="F59" s="956"/>
      <c r="G59" s="428"/>
      <c r="I59" s="128"/>
      <c r="J59" s="137"/>
      <c r="K59" s="17"/>
    </row>
    <row r="60" spans="2:11" ht="17.25" x14ac:dyDescent="0.35">
      <c r="B60" s="413"/>
      <c r="C60" s="395"/>
      <c r="D60" s="409" t="s">
        <v>56</v>
      </c>
      <c r="E60" s="409" t="s">
        <v>57</v>
      </c>
      <c r="F60" s="410" t="s">
        <v>58</v>
      </c>
      <c r="G60" s="428"/>
      <c r="I60" s="128"/>
      <c r="J60" s="137"/>
      <c r="K60" s="17"/>
    </row>
    <row r="61" spans="2:11" x14ac:dyDescent="0.3">
      <c r="B61" s="395"/>
      <c r="C61" s="386" t="s">
        <v>83</v>
      </c>
      <c r="D61" s="403"/>
      <c r="E61" s="403"/>
      <c r="F61" s="390"/>
      <c r="G61" s="428"/>
      <c r="I61" s="128"/>
      <c r="J61" s="137"/>
      <c r="K61" s="17"/>
    </row>
    <row r="62" spans="2:11" x14ac:dyDescent="0.3">
      <c r="B62" s="395"/>
      <c r="C62" s="386" t="s">
        <v>84</v>
      </c>
      <c r="D62" s="403"/>
      <c r="E62" s="403"/>
      <c r="F62" s="390"/>
      <c r="G62" s="428"/>
      <c r="I62" s="128"/>
      <c r="J62" s="137"/>
      <c r="K62" s="17"/>
    </row>
    <row r="63" spans="2:11" x14ac:dyDescent="0.3">
      <c r="B63" s="395"/>
      <c r="C63" s="386" t="s">
        <v>85</v>
      </c>
      <c r="D63" s="403"/>
      <c r="E63" s="403"/>
      <c r="F63" s="390"/>
      <c r="G63" s="428"/>
      <c r="I63" s="128"/>
      <c r="J63" s="137"/>
      <c r="K63" s="17"/>
    </row>
    <row r="64" spans="2:11" x14ac:dyDescent="0.3">
      <c r="B64" s="395"/>
      <c r="C64" s="386" t="s">
        <v>86</v>
      </c>
      <c r="D64" s="403"/>
      <c r="E64" s="403"/>
      <c r="F64" s="390"/>
      <c r="G64" s="428"/>
      <c r="I64" s="128"/>
      <c r="J64" s="137"/>
      <c r="K64" s="17"/>
    </row>
    <row r="65" spans="2:11" x14ac:dyDescent="0.3">
      <c r="B65" s="395"/>
      <c r="C65" s="386" t="s">
        <v>87</v>
      </c>
      <c r="D65" s="403"/>
      <c r="E65" s="403"/>
      <c r="F65" s="390"/>
      <c r="G65" s="428"/>
      <c r="I65" s="128"/>
      <c r="J65" s="137"/>
      <c r="K65" s="17"/>
    </row>
    <row r="66" spans="2:11" x14ac:dyDescent="0.3">
      <c r="B66" s="395"/>
      <c r="C66" s="386" t="s">
        <v>88</v>
      </c>
      <c r="D66" s="403"/>
      <c r="E66" s="403"/>
      <c r="F66" s="390"/>
      <c r="G66" s="428"/>
      <c r="I66" s="128"/>
      <c r="J66" s="137"/>
      <c r="K66" s="17"/>
    </row>
    <row r="67" spans="2:11" x14ac:dyDescent="0.3">
      <c r="B67" s="395"/>
      <c r="C67" s="386" t="s">
        <v>89</v>
      </c>
      <c r="D67" s="403"/>
      <c r="E67" s="403"/>
      <c r="F67" s="390"/>
      <c r="G67" s="428"/>
      <c r="I67" s="128"/>
      <c r="J67" s="137"/>
      <c r="K67" s="17"/>
    </row>
    <row r="68" spans="2:11" ht="17.25" thickBot="1" x14ac:dyDescent="0.35">
      <c r="B68" s="395"/>
      <c r="C68" s="391" t="s">
        <v>90</v>
      </c>
      <c r="D68" s="404"/>
      <c r="E68" s="404"/>
      <c r="F68" s="392"/>
      <c r="G68" s="428"/>
      <c r="I68" s="128"/>
      <c r="J68" s="137"/>
      <c r="K68" s="17"/>
    </row>
    <row r="69" spans="2:11" ht="17.25" thickBot="1" x14ac:dyDescent="0.35">
      <c r="B69" s="395"/>
      <c r="C69" s="388"/>
      <c r="D69" s="388"/>
      <c r="E69" s="388"/>
      <c r="F69" s="388"/>
      <c r="G69" s="428"/>
      <c r="I69" s="128"/>
      <c r="J69" s="137"/>
      <c r="K69" s="17"/>
    </row>
    <row r="70" spans="2:11" ht="18" thickBot="1" x14ac:dyDescent="0.4">
      <c r="B70" s="395"/>
      <c r="C70" s="913" t="s">
        <v>91</v>
      </c>
      <c r="D70" s="914"/>
      <c r="E70" s="914"/>
      <c r="F70" s="915"/>
      <c r="G70" s="428"/>
      <c r="I70" s="128"/>
      <c r="J70" s="137"/>
      <c r="K70" s="17"/>
    </row>
    <row r="71" spans="2:11" ht="17.25" x14ac:dyDescent="0.35">
      <c r="B71" s="400"/>
      <c r="C71" s="398"/>
      <c r="D71" s="957" t="s">
        <v>48</v>
      </c>
      <c r="E71" s="955"/>
      <c r="F71" s="956"/>
      <c r="G71" s="428"/>
      <c r="I71" s="128"/>
      <c r="J71" s="137"/>
      <c r="K71" s="17"/>
    </row>
    <row r="72" spans="2:11" x14ac:dyDescent="0.3">
      <c r="B72" s="395"/>
      <c r="C72" s="386" t="s">
        <v>92</v>
      </c>
      <c r="D72" s="921"/>
      <c r="E72" s="921"/>
      <c r="F72" s="922"/>
      <c r="G72" s="428"/>
      <c r="I72" s="128"/>
      <c r="J72" s="137"/>
      <c r="K72" s="17"/>
    </row>
    <row r="73" spans="2:11" x14ac:dyDescent="0.3">
      <c r="B73" s="395"/>
      <c r="C73" s="386" t="s">
        <v>93</v>
      </c>
      <c r="D73" s="921"/>
      <c r="E73" s="921"/>
      <c r="F73" s="922"/>
      <c r="G73" s="428"/>
      <c r="I73" s="128"/>
      <c r="J73" s="137"/>
      <c r="K73" s="17"/>
    </row>
    <row r="74" spans="2:11" x14ac:dyDescent="0.3">
      <c r="B74" s="395"/>
      <c r="C74" s="386" t="s">
        <v>308</v>
      </c>
      <c r="D74" s="921"/>
      <c r="E74" s="921"/>
      <c r="F74" s="922"/>
      <c r="G74" s="428"/>
      <c r="I74" s="128"/>
      <c r="J74" s="137"/>
      <c r="K74" s="17"/>
    </row>
    <row r="75" spans="2:11" x14ac:dyDescent="0.3">
      <c r="B75" s="395"/>
      <c r="C75" s="386" t="s">
        <v>452</v>
      </c>
      <c r="D75" s="932" t="str">
        <f>IF(D73+D74=0,"",D73+D74)</f>
        <v/>
      </c>
      <c r="E75" s="932"/>
      <c r="F75" s="933"/>
      <c r="G75" s="428"/>
      <c r="I75" s="129"/>
      <c r="J75" s="138"/>
      <c r="K75" s="17"/>
    </row>
    <row r="76" spans="2:11" x14ac:dyDescent="0.3">
      <c r="B76" s="395"/>
      <c r="C76" s="386" t="s">
        <v>95</v>
      </c>
      <c r="D76" s="921"/>
      <c r="E76" s="921"/>
      <c r="F76" s="922"/>
      <c r="G76" s="428"/>
      <c r="I76" s="129"/>
      <c r="J76" s="138"/>
      <c r="K76" s="17"/>
    </row>
    <row r="77" spans="2:11" x14ac:dyDescent="0.3">
      <c r="B77" s="395"/>
      <c r="C77" s="386" t="s">
        <v>96</v>
      </c>
      <c r="D77" s="921"/>
      <c r="E77" s="921"/>
      <c r="F77" s="922"/>
      <c r="G77" s="428"/>
      <c r="I77" s="129"/>
      <c r="J77" s="138"/>
      <c r="K77" s="17"/>
    </row>
    <row r="78" spans="2:11" x14ac:dyDescent="0.3">
      <c r="B78" s="395"/>
      <c r="C78" s="386" t="s">
        <v>97</v>
      </c>
      <c r="D78" s="921"/>
      <c r="E78" s="921"/>
      <c r="F78" s="922"/>
      <c r="G78" s="428"/>
      <c r="I78" s="129"/>
      <c r="J78" s="138"/>
      <c r="K78" s="17"/>
    </row>
    <row r="79" spans="2:11" x14ac:dyDescent="0.3">
      <c r="B79" s="395"/>
      <c r="C79" s="386" t="s">
        <v>308</v>
      </c>
      <c r="D79" s="921"/>
      <c r="E79" s="921"/>
      <c r="F79" s="922"/>
      <c r="G79" s="428"/>
      <c r="I79" s="129"/>
      <c r="J79" s="138"/>
      <c r="K79" s="17"/>
    </row>
    <row r="80" spans="2:11" ht="17.25" thickBot="1" x14ac:dyDescent="0.35">
      <c r="B80" s="395"/>
      <c r="C80" s="391" t="s">
        <v>452</v>
      </c>
      <c r="D80" s="934" t="str">
        <f>IF(D78+D79=0,"",D78+D79)</f>
        <v/>
      </c>
      <c r="E80" s="934"/>
      <c r="F80" s="935"/>
      <c r="G80" s="428"/>
      <c r="I80" s="130"/>
      <c r="J80" s="137"/>
      <c r="K80" s="17"/>
    </row>
    <row r="81" spans="1:11" ht="17.25" thickBot="1" x14ac:dyDescent="0.35">
      <c r="B81" s="416"/>
      <c r="C81" s="405"/>
      <c r="D81" s="519"/>
      <c r="E81" s="405"/>
      <c r="F81" s="405"/>
      <c r="G81" s="433"/>
      <c r="I81" s="130"/>
      <c r="J81" s="137"/>
      <c r="K81" s="17"/>
    </row>
    <row r="82" spans="1:11" x14ac:dyDescent="0.3">
      <c r="K82" s="17"/>
    </row>
    <row r="83" spans="1:11" s="16" customFormat="1" x14ac:dyDescent="0.3">
      <c r="A83" s="17"/>
      <c r="B83" s="17"/>
      <c r="C83" s="17"/>
      <c r="D83" s="17"/>
      <c r="E83" s="17"/>
      <c r="F83" s="17"/>
      <c r="G83" s="17"/>
      <c r="H83" s="17"/>
      <c r="I83" s="17"/>
      <c r="J83" s="17"/>
      <c r="K83"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C20" sqref="C20"/>
      <pageMargins left="0.7" right="0.7" top="0.75" bottom="0.75" header="0.3" footer="0.3"/>
      <pageSetup orientation="portrait" horizontalDpi="200" verticalDpi="200" r:id="rId2"/>
    </customSheetView>
  </customSheetViews>
  <mergeCells count="25">
    <mergeCell ref="C70:F70"/>
    <mergeCell ref="H4:I4"/>
    <mergeCell ref="B2:C2"/>
    <mergeCell ref="C15:F15"/>
    <mergeCell ref="C25:F25"/>
    <mergeCell ref="C34:F34"/>
    <mergeCell ref="E2:F2"/>
    <mergeCell ref="D59:F59"/>
    <mergeCell ref="D50:F50"/>
    <mergeCell ref="D35:F35"/>
    <mergeCell ref="D26:F26"/>
    <mergeCell ref="B11:G11"/>
    <mergeCell ref="D16:F16"/>
    <mergeCell ref="C49:F49"/>
    <mergeCell ref="C58:F58"/>
    <mergeCell ref="D71:F71"/>
    <mergeCell ref="D76:F76"/>
    <mergeCell ref="D77:F77"/>
    <mergeCell ref="D72:F72"/>
    <mergeCell ref="D73:F73"/>
    <mergeCell ref="D80:F80"/>
    <mergeCell ref="D78:F78"/>
    <mergeCell ref="D79:F79"/>
    <mergeCell ref="D74:F74"/>
    <mergeCell ref="D75:F75"/>
  </mergeCells>
  <phoneticPr fontId="26" type="noConversion"/>
  <conditionalFormatting sqref="D37:F47 D52:F56 D61:F68 D72:D80 D28:F32 D22:D23 D13 D18:F21">
    <cfRule type="expression" dxfId="42" priority="3" stopIfTrue="1">
      <formula>OR($I$5 = "Central Air Conditioner", $I$6 &lt;&gt; "Variable-Speed")</formula>
    </cfRule>
  </conditionalFormatting>
  <dataValidations count="1">
    <dataValidation type="list" showInputMessage="1" showErrorMessage="1" sqref="D13" xr:uid="{00000000-0002-0000-1200-000000000000}">
      <formula1>Duration</formula1>
    </dataValidation>
  </dataValidations>
  <hyperlinks>
    <hyperlink ref="E2" location="Instructions!A1" display="Back to Instructions" xr:uid="{00000000-0004-0000-1200-000000000000}"/>
    <hyperlink ref="E2:F2" location="Instructions!A1" display="Back to Instructions tab" xr:uid="{00000000-0004-0000-1200-000001000000}"/>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sheetPr>
  <dimension ref="A1:K111"/>
  <sheetViews>
    <sheetView showGridLines="0" showZeros="0" zoomScale="80" zoomScaleNormal="80" workbookViewId="0">
      <selection activeCell="F3" sqref="F3:G3"/>
    </sheetView>
  </sheetViews>
  <sheetFormatPr defaultColWidth="9.140625" defaultRowHeight="16.5" x14ac:dyDescent="0.3"/>
  <cols>
    <col min="1" max="1" width="3.42578125" style="5" customWidth="1"/>
    <col min="2" max="2" width="52.85546875" style="5" customWidth="1"/>
    <col min="3" max="3" width="55.28515625" style="5" customWidth="1"/>
    <col min="4" max="4" width="9.42578125" style="5" customWidth="1"/>
    <col min="5" max="5" width="4.28515625" style="5" customWidth="1"/>
    <col min="6" max="6" width="28.85546875" style="5" customWidth="1"/>
    <col min="7" max="7" width="24.7109375" style="5" customWidth="1"/>
    <col min="8" max="8" width="17.140625" style="5" bestFit="1" customWidth="1"/>
    <col min="9" max="9" width="28.5703125" style="5" customWidth="1"/>
    <col min="10" max="10" width="5" style="5" customWidth="1"/>
    <col min="11" max="11" width="2.7109375" style="16" customWidth="1"/>
    <col min="12" max="16384" width="9.140625" style="5"/>
  </cols>
  <sheetData>
    <row r="1" spans="2:11" ht="18" thickBot="1" x14ac:dyDescent="0.4">
      <c r="B1" s="6"/>
      <c r="K1" s="165"/>
    </row>
    <row r="2" spans="2:11" ht="18" thickBot="1" x14ac:dyDescent="0.35">
      <c r="B2" s="805" t="s">
        <v>622</v>
      </c>
      <c r="C2" s="806"/>
      <c r="K2" s="17"/>
    </row>
    <row r="3" spans="2:11" ht="21" customHeight="1" x14ac:dyDescent="0.3">
      <c r="B3" s="365" t="s">
        <v>623</v>
      </c>
      <c r="C3" s="366" t="str">
        <f>'Version Control'!C3</f>
        <v>Commercial Air Conditioner and Heat Pump</v>
      </c>
      <c r="F3" s="840" t="s">
        <v>553</v>
      </c>
      <c r="G3" s="840"/>
      <c r="K3" s="17"/>
    </row>
    <row r="4" spans="2:11" x14ac:dyDescent="0.3">
      <c r="B4" s="367" t="s">
        <v>142</v>
      </c>
      <c r="C4" s="368" t="str">
        <f>'Version Control'!C4</f>
        <v>v2.2</v>
      </c>
      <c r="K4" s="17"/>
    </row>
    <row r="5" spans="2:11" x14ac:dyDescent="0.3">
      <c r="B5" s="367" t="s">
        <v>475</v>
      </c>
      <c r="C5" s="369">
        <f>'Version Control'!C5</f>
        <v>43353</v>
      </c>
      <c r="K5" s="17"/>
    </row>
    <row r="6" spans="2:11" x14ac:dyDescent="0.3">
      <c r="B6" s="370" t="s">
        <v>141</v>
      </c>
      <c r="C6" s="371" t="str">
        <f ca="1">MID(CELL("filename",$A$1), FIND("]", CELL("filename", $A$1))+ 1, 255)</f>
        <v>General Info and Test Results</v>
      </c>
      <c r="K6" s="17"/>
    </row>
    <row r="7" spans="2:11" ht="37.5" customHeight="1" x14ac:dyDescent="0.35">
      <c r="B7" s="361" t="s">
        <v>140</v>
      </c>
      <c r="C7" s="362" t="str">
        <f ca="1">'Version Control'!C7</f>
        <v>Commercial Air Conditioner and Heat Pump - v2.2.xlsx</v>
      </c>
      <c r="E7" s="6"/>
      <c r="K7" s="17"/>
    </row>
    <row r="8" spans="2:11" ht="18" thickBot="1" x14ac:dyDescent="0.4">
      <c r="B8" s="372" t="s">
        <v>143</v>
      </c>
      <c r="C8" s="373" t="str">
        <f>'Version Control'!C8</f>
        <v>[MM/DD/YYYY]</v>
      </c>
      <c r="E8" s="6"/>
      <c r="K8" s="17"/>
    </row>
    <row r="9" spans="2:11" ht="17.25" x14ac:dyDescent="0.35">
      <c r="B9" s="4"/>
      <c r="C9" s="232"/>
      <c r="E9" s="6"/>
      <c r="K9" s="17"/>
    </row>
    <row r="10" spans="2:11" ht="18" thickBot="1" x14ac:dyDescent="0.4">
      <c r="B10" s="4"/>
      <c r="C10" s="233"/>
      <c r="E10" s="6"/>
      <c r="K10" s="17"/>
    </row>
    <row r="11" spans="2:11" ht="18" thickBot="1" x14ac:dyDescent="0.4">
      <c r="B11" s="802" t="s">
        <v>466</v>
      </c>
      <c r="C11" s="804"/>
      <c r="E11" s="6"/>
      <c r="G11" s="7"/>
      <c r="H11" s="37"/>
      <c r="K11" s="17"/>
    </row>
    <row r="12" spans="2:11" ht="18.75" thickBot="1" x14ac:dyDescent="0.35">
      <c r="B12" s="748" t="s">
        <v>16</v>
      </c>
      <c r="C12" s="749"/>
      <c r="F12" s="802" t="s">
        <v>484</v>
      </c>
      <c r="G12" s="804"/>
      <c r="H12" s="311"/>
      <c r="K12" s="17"/>
    </row>
    <row r="13" spans="2:11" ht="18.75" thickBot="1" x14ac:dyDescent="0.4">
      <c r="B13" s="113" t="s">
        <v>17</v>
      </c>
      <c r="C13" s="114"/>
      <c r="F13" s="841" t="s">
        <v>346</v>
      </c>
      <c r="G13" s="842"/>
      <c r="H13" s="311"/>
      <c r="K13" s="17"/>
    </row>
    <row r="14" spans="2:11" ht="18" thickBot="1" x14ac:dyDescent="0.35">
      <c r="F14" s="13" t="s">
        <v>137</v>
      </c>
      <c r="G14" s="312" t="s">
        <v>345</v>
      </c>
      <c r="H14" s="139"/>
      <c r="K14" s="17"/>
    </row>
    <row r="15" spans="2:11" ht="18" thickBot="1" x14ac:dyDescent="0.4">
      <c r="B15" s="802" t="s">
        <v>467</v>
      </c>
      <c r="C15" s="804"/>
      <c r="F15" s="14" t="s">
        <v>204</v>
      </c>
      <c r="G15" s="378" t="str">
        <f>IF(C24="Heating Only Central Heat Pump","Not Applicable", IF(AND(C25="Single-Speed",C26="Fixed Speed"),Calculations!D69,IF(AND(C25="Single-Speed",C26="Variable Speed"),Calculations!D89,IF(C25="Two-Speed",Calculations!D109,IF(C25 = "Variable-Speed", Calculations!D129," ")))))</f>
        <v xml:space="preserve"> </v>
      </c>
      <c r="H15" s="38"/>
      <c r="K15" s="17"/>
    </row>
    <row r="16" spans="2:11" ht="17.25" x14ac:dyDescent="0.35">
      <c r="B16" s="75" t="s">
        <v>18</v>
      </c>
      <c r="C16" s="750" t="s">
        <v>347</v>
      </c>
      <c r="F16" s="14" t="s">
        <v>121</v>
      </c>
      <c r="G16" s="378" t="str">
        <f>IF(C24="Central Air Conditioner","Not Applicable", IF(AND(C25="Single-Speed",C26="Fixed Speed"),Calculations!D173,IF(AND(C25="Single-Speed",C26="Variable Speed"),Calculations!D205,IF(C25="Two-Speed",Calculations!D236,IF(C25 = "Variable-Speed", Calculations!D270," ")))))</f>
        <v xml:space="preserve"> </v>
      </c>
      <c r="H16" s="139"/>
      <c r="K16" s="17"/>
    </row>
    <row r="17" spans="2:11" ht="17.25" x14ac:dyDescent="0.35">
      <c r="B17" s="75" t="s">
        <v>19</v>
      </c>
      <c r="C17" s="751" t="s">
        <v>347</v>
      </c>
      <c r="F17" s="14" t="s">
        <v>488</v>
      </c>
      <c r="G17" s="378" t="str">
        <f>IF(AND(C25="Single Speed",C26="Fixed Speed"),SS_FS_round,IF(AND(C25="Single Speed",C26="Variable Speed"),SS_VS_round,IF(C25="Two Speed",TS_VS_round,IF(C25 = "Variable Speed", VS_VS_round," "))))</f>
        <v xml:space="preserve"> </v>
      </c>
      <c r="H17" s="38"/>
      <c r="K17" s="17"/>
    </row>
    <row r="18" spans="2:11" ht="17.25" x14ac:dyDescent="0.35">
      <c r="B18" s="313" t="s">
        <v>20</v>
      </c>
      <c r="C18" s="752" t="s">
        <v>347</v>
      </c>
      <c r="F18" s="14" t="s">
        <v>565</v>
      </c>
      <c r="G18" s="378" t="str">
        <f>IF('IEER Calculations'!J34="","",'IEER Calculations'!J34)</f>
        <v/>
      </c>
      <c r="H18" s="38"/>
      <c r="K18" s="17"/>
    </row>
    <row r="19" spans="2:11" ht="18" thickBot="1" x14ac:dyDescent="0.4">
      <c r="B19" s="76" t="s">
        <v>439</v>
      </c>
      <c r="C19" s="753" t="s">
        <v>347</v>
      </c>
      <c r="F19" s="208" t="s">
        <v>613</v>
      </c>
      <c r="G19" s="379">
        <f>IF(C25="Single-Speed",COP_ss,COP_vs)</f>
        <v>0</v>
      </c>
      <c r="H19" s="38"/>
      <c r="K19" s="17"/>
    </row>
    <row r="20" spans="2:11" ht="17.25" thickBot="1" x14ac:dyDescent="0.35">
      <c r="B20" s="112"/>
      <c r="C20" s="84"/>
      <c r="K20" s="17"/>
    </row>
    <row r="21" spans="2:11" ht="16.5" customHeight="1" thickBot="1" x14ac:dyDescent="0.45">
      <c r="B21" s="802" t="s">
        <v>351</v>
      </c>
      <c r="C21" s="803"/>
      <c r="D21" s="804"/>
      <c r="F21" s="44" t="s">
        <v>382</v>
      </c>
      <c r="K21" s="17"/>
    </row>
    <row r="22" spans="2:11" ht="17.25" customHeight="1" thickBot="1" x14ac:dyDescent="0.35">
      <c r="B22" s="329"/>
      <c r="C22" s="330"/>
      <c r="D22" s="131"/>
      <c r="F22" s="802" t="s">
        <v>148</v>
      </c>
      <c r="G22" s="803"/>
      <c r="H22" s="803"/>
      <c r="I22" s="804"/>
      <c r="K22" s="17"/>
    </row>
    <row r="23" spans="2:11" ht="17.25" customHeight="1" x14ac:dyDescent="0.35">
      <c r="B23" s="10" t="s">
        <v>15</v>
      </c>
      <c r="C23" s="8"/>
      <c r="D23" s="87"/>
      <c r="F23" s="832" t="s">
        <v>468</v>
      </c>
      <c r="G23" s="833"/>
      <c r="H23" s="833"/>
      <c r="I23" s="834"/>
      <c r="K23" s="17"/>
    </row>
    <row r="24" spans="2:11" x14ac:dyDescent="0.3">
      <c r="B24" s="77" t="s">
        <v>160</v>
      </c>
      <c r="C24" s="83"/>
      <c r="D24" s="201"/>
      <c r="F24" s="835"/>
      <c r="G24" s="836"/>
      <c r="H24" s="836"/>
      <c r="I24" s="837"/>
      <c r="K24" s="17"/>
    </row>
    <row r="25" spans="2:11" x14ac:dyDescent="0.3">
      <c r="B25" s="78" t="s">
        <v>155</v>
      </c>
      <c r="C25" s="83"/>
      <c r="D25" s="201"/>
      <c r="F25" s="835"/>
      <c r="G25" s="836"/>
      <c r="H25" s="836"/>
      <c r="I25" s="837"/>
      <c r="K25" s="17"/>
    </row>
    <row r="26" spans="2:11" ht="17.25" x14ac:dyDescent="0.35">
      <c r="B26" s="79" t="s">
        <v>156</v>
      </c>
      <c r="C26" s="83"/>
      <c r="D26" s="201"/>
      <c r="F26" s="843" t="s">
        <v>149</v>
      </c>
      <c r="G26" s="844"/>
      <c r="H26" s="36" t="s">
        <v>146</v>
      </c>
      <c r="I26" s="39" t="s">
        <v>150</v>
      </c>
      <c r="K26" s="17"/>
    </row>
    <row r="27" spans="2:11" x14ac:dyDescent="0.3">
      <c r="B27" s="81" t="s">
        <v>380</v>
      </c>
      <c r="C27" s="83"/>
      <c r="D27" s="201"/>
      <c r="F27" s="838" t="s">
        <v>151</v>
      </c>
      <c r="G27" s="839"/>
      <c r="H27" s="116" t="str">
        <f>'Report Sign-off Block'!D15</f>
        <v>[MM/DD/YYYY]</v>
      </c>
      <c r="I27" s="117" t="str">
        <f>'Report Sign-off Block'!E15</f>
        <v>[Test Lab Name]</v>
      </c>
      <c r="K27" s="17"/>
    </row>
    <row r="28" spans="2:11" x14ac:dyDescent="0.3">
      <c r="B28" s="9"/>
      <c r="C28" s="8"/>
      <c r="D28" s="86"/>
      <c r="F28" s="838" t="s">
        <v>436</v>
      </c>
      <c r="G28" s="839"/>
      <c r="H28" s="116" t="str">
        <f>'Report Sign-off Block'!D16</f>
        <v>[MM/DD/YYYY]</v>
      </c>
      <c r="I28" s="117" t="str">
        <f>'Report Sign-off Block'!E16</f>
        <v>[Test Lab Name]</v>
      </c>
      <c r="K28" s="17"/>
    </row>
    <row r="29" spans="2:11" ht="17.25" x14ac:dyDescent="0.35">
      <c r="B29" s="10" t="s">
        <v>161</v>
      </c>
      <c r="C29" s="7"/>
      <c r="D29" s="202"/>
      <c r="F29" s="845" t="s">
        <v>469</v>
      </c>
      <c r="G29" s="846"/>
      <c r="H29" s="116" t="str">
        <f>'Report Sign-off Block'!D17</f>
        <v>[MM/DD/YYYY]</v>
      </c>
      <c r="I29" s="117" t="str">
        <f>'Report Sign-off Block'!E17</f>
        <v>[Test Lab Name]</v>
      </c>
      <c r="K29" s="17"/>
    </row>
    <row r="30" spans="2:11" ht="17.25" thickBot="1" x14ac:dyDescent="0.35">
      <c r="B30" s="77" t="s">
        <v>153</v>
      </c>
      <c r="C30" s="83"/>
      <c r="D30" s="201"/>
      <c r="F30" s="829" t="s">
        <v>469</v>
      </c>
      <c r="G30" s="830"/>
      <c r="H30" s="118" t="str">
        <f>'Report Sign-off Block'!D18</f>
        <v>[MM/DD/YYYY]</v>
      </c>
      <c r="I30" s="119" t="str">
        <f>'Report Sign-off Block'!E18</f>
        <v>[Test Lab Name]</v>
      </c>
      <c r="K30" s="17"/>
    </row>
    <row r="31" spans="2:11" x14ac:dyDescent="0.3">
      <c r="B31" s="78" t="s">
        <v>152</v>
      </c>
      <c r="C31" s="83"/>
      <c r="D31" s="201"/>
      <c r="F31" s="831"/>
      <c r="G31" s="831"/>
      <c r="H31" s="799"/>
      <c r="I31" s="800"/>
      <c r="K31" s="17"/>
    </row>
    <row r="32" spans="2:11" x14ac:dyDescent="0.3">
      <c r="B32" s="78" t="s">
        <v>381</v>
      </c>
      <c r="C32" s="83"/>
      <c r="D32" s="201"/>
      <c r="K32" s="17"/>
    </row>
    <row r="33" spans="2:11" x14ac:dyDescent="0.3">
      <c r="B33" s="209" t="s">
        <v>499</v>
      </c>
      <c r="C33" s="83"/>
      <c r="D33" s="201"/>
      <c r="K33" s="17"/>
    </row>
    <row r="34" spans="2:11" x14ac:dyDescent="0.3">
      <c r="B34" s="209" t="s">
        <v>523</v>
      </c>
      <c r="C34" s="83"/>
      <c r="D34" s="201"/>
      <c r="K34" s="17"/>
    </row>
    <row r="35" spans="2:11" x14ac:dyDescent="0.3">
      <c r="B35" s="82" t="s">
        <v>162</v>
      </c>
      <c r="C35" s="83"/>
      <c r="D35" s="201"/>
      <c r="K35" s="17"/>
    </row>
    <row r="36" spans="2:11" x14ac:dyDescent="0.3">
      <c r="B36" s="2"/>
      <c r="C36" s="7"/>
      <c r="D36" s="86"/>
      <c r="K36" s="17"/>
    </row>
    <row r="37" spans="2:11" ht="17.25" x14ac:dyDescent="0.35">
      <c r="B37" s="10" t="s">
        <v>357</v>
      </c>
      <c r="C37" s="7"/>
      <c r="D37" s="202"/>
      <c r="K37" s="17"/>
    </row>
    <row r="38" spans="2:11" x14ac:dyDescent="0.3">
      <c r="B38" s="77" t="s">
        <v>376</v>
      </c>
      <c r="C38" s="207"/>
      <c r="D38" s="201" t="s">
        <v>616</v>
      </c>
      <c r="K38" s="17"/>
    </row>
    <row r="39" spans="2:11" x14ac:dyDescent="0.3">
      <c r="B39" s="78" t="s">
        <v>21</v>
      </c>
      <c r="C39" s="83"/>
      <c r="D39" s="201"/>
      <c r="K39" s="17"/>
    </row>
    <row r="40" spans="2:11" x14ac:dyDescent="0.3">
      <c r="B40" s="78" t="s">
        <v>22</v>
      </c>
      <c r="C40" s="83"/>
      <c r="D40" s="201"/>
      <c r="K40" s="17"/>
    </row>
    <row r="41" spans="2:11" x14ac:dyDescent="0.3">
      <c r="B41" s="78" t="s">
        <v>614</v>
      </c>
      <c r="C41" s="83"/>
      <c r="D41" s="201"/>
      <c r="K41" s="17"/>
    </row>
    <row r="42" spans="2:11" x14ac:dyDescent="0.3">
      <c r="B42" s="78" t="s">
        <v>377</v>
      </c>
      <c r="C42" s="207"/>
      <c r="D42" s="201" t="s">
        <v>616</v>
      </c>
      <c r="K42" s="17"/>
    </row>
    <row r="43" spans="2:11" x14ac:dyDescent="0.3">
      <c r="B43" s="78" t="s">
        <v>23</v>
      </c>
      <c r="C43" s="83"/>
      <c r="D43" s="201"/>
      <c r="K43" s="17"/>
    </row>
    <row r="44" spans="2:11" x14ac:dyDescent="0.3">
      <c r="B44" s="78" t="s">
        <v>615</v>
      </c>
      <c r="C44" s="83"/>
      <c r="D44" s="201"/>
      <c r="K44" s="17"/>
    </row>
    <row r="45" spans="2:11" x14ac:dyDescent="0.3">
      <c r="B45" s="78" t="s">
        <v>24</v>
      </c>
      <c r="C45" s="83"/>
      <c r="D45" s="201" t="s">
        <v>378</v>
      </c>
      <c r="K45" s="17"/>
    </row>
    <row r="46" spans="2:11" x14ac:dyDescent="0.3">
      <c r="B46" s="78" t="s">
        <v>25</v>
      </c>
      <c r="C46" s="754" t="s">
        <v>347</v>
      </c>
      <c r="D46" s="327"/>
      <c r="K46" s="17"/>
    </row>
    <row r="47" spans="2:11" x14ac:dyDescent="0.3">
      <c r="B47" s="82" t="s">
        <v>154</v>
      </c>
      <c r="C47" s="83"/>
      <c r="D47" s="201"/>
      <c r="K47" s="17"/>
    </row>
    <row r="48" spans="2:11" ht="17.25" x14ac:dyDescent="0.35">
      <c r="B48" s="10"/>
      <c r="C48" s="7"/>
      <c r="D48" s="86"/>
      <c r="K48" s="17"/>
    </row>
    <row r="49" spans="2:11" ht="17.25" x14ac:dyDescent="0.35">
      <c r="B49" s="10" t="s">
        <v>363</v>
      </c>
      <c r="C49" s="7"/>
      <c r="D49" s="202"/>
      <c r="K49" s="17"/>
    </row>
    <row r="50" spans="2:11" ht="17.25" x14ac:dyDescent="0.35">
      <c r="B50" s="77" t="s">
        <v>26</v>
      </c>
      <c r="C50" s="83"/>
      <c r="D50" s="201"/>
      <c r="E50" s="6"/>
      <c r="K50" s="17"/>
    </row>
    <row r="51" spans="2:11" x14ac:dyDescent="0.3">
      <c r="B51" s="78" t="s">
        <v>27</v>
      </c>
      <c r="C51" s="83"/>
      <c r="D51" s="201"/>
      <c r="K51" s="17"/>
    </row>
    <row r="52" spans="2:11" x14ac:dyDescent="0.3">
      <c r="B52" s="78" t="s">
        <v>28</v>
      </c>
      <c r="C52" s="83"/>
      <c r="D52" s="201"/>
      <c r="K52" s="17"/>
    </row>
    <row r="53" spans="2:11" x14ac:dyDescent="0.3">
      <c r="B53" s="78" t="s">
        <v>29</v>
      </c>
      <c r="C53" s="83"/>
      <c r="D53" s="201"/>
      <c r="K53" s="17"/>
    </row>
    <row r="54" spans="2:11" x14ac:dyDescent="0.3">
      <c r="B54" s="82" t="s">
        <v>30</v>
      </c>
      <c r="C54" s="403"/>
      <c r="D54" s="327"/>
      <c r="K54" s="17"/>
    </row>
    <row r="55" spans="2:11" x14ac:dyDescent="0.3">
      <c r="B55" s="2"/>
      <c r="C55" s="84"/>
      <c r="D55" s="86"/>
      <c r="K55" s="17"/>
    </row>
    <row r="56" spans="2:11" ht="17.25" x14ac:dyDescent="0.35">
      <c r="B56" s="10" t="s">
        <v>364</v>
      </c>
      <c r="C56" s="7"/>
      <c r="D56" s="202"/>
      <c r="K56" s="17"/>
    </row>
    <row r="57" spans="2:11" ht="17.25" x14ac:dyDescent="0.35">
      <c r="B57" s="77" t="s">
        <v>26</v>
      </c>
      <c r="C57" s="83"/>
      <c r="D57" s="201"/>
      <c r="E57" s="6"/>
      <c r="K57" s="17"/>
    </row>
    <row r="58" spans="2:11" x14ac:dyDescent="0.3">
      <c r="B58" s="78" t="s">
        <v>27</v>
      </c>
      <c r="C58" s="83"/>
      <c r="D58" s="201"/>
      <c r="K58" s="17"/>
    </row>
    <row r="59" spans="2:11" x14ac:dyDescent="0.3">
      <c r="B59" s="78" t="s">
        <v>28</v>
      </c>
      <c r="C59" s="83"/>
      <c r="D59" s="201"/>
      <c r="K59" s="17"/>
    </row>
    <row r="60" spans="2:11" x14ac:dyDescent="0.3">
      <c r="B60" s="78" t="s">
        <v>29</v>
      </c>
      <c r="C60" s="83"/>
      <c r="D60" s="201"/>
      <c r="K60" s="17"/>
    </row>
    <row r="61" spans="2:11" x14ac:dyDescent="0.3">
      <c r="B61" s="82" t="s">
        <v>30</v>
      </c>
      <c r="C61" s="403"/>
      <c r="D61" s="327"/>
      <c r="K61" s="17"/>
    </row>
    <row r="62" spans="2:11" x14ac:dyDescent="0.3">
      <c r="B62" s="2"/>
      <c r="C62" s="8"/>
      <c r="D62" s="86"/>
      <c r="K62" s="17"/>
    </row>
    <row r="63" spans="2:11" ht="17.25" x14ac:dyDescent="0.35">
      <c r="B63" s="10" t="s">
        <v>365</v>
      </c>
      <c r="C63" s="7"/>
      <c r="D63" s="202"/>
      <c r="K63" s="17"/>
    </row>
    <row r="64" spans="2:11" ht="17.25" x14ac:dyDescent="0.35">
      <c r="B64" s="77" t="s">
        <v>26</v>
      </c>
      <c r="C64" s="83"/>
      <c r="D64" s="201"/>
      <c r="E64" s="6"/>
      <c r="K64" s="17"/>
    </row>
    <row r="65" spans="1:11" x14ac:dyDescent="0.3">
      <c r="B65" s="78" t="s">
        <v>27</v>
      </c>
      <c r="C65" s="83"/>
      <c r="D65" s="201"/>
      <c r="K65" s="17"/>
    </row>
    <row r="66" spans="1:11" x14ac:dyDescent="0.3">
      <c r="B66" s="78" t="s">
        <v>28</v>
      </c>
      <c r="C66" s="83"/>
      <c r="D66" s="201"/>
      <c r="K66" s="17"/>
    </row>
    <row r="67" spans="1:11" x14ac:dyDescent="0.3">
      <c r="B67" s="78" t="s">
        <v>29</v>
      </c>
      <c r="C67" s="83"/>
      <c r="D67" s="201"/>
      <c r="K67" s="17"/>
    </row>
    <row r="68" spans="1:11" x14ac:dyDescent="0.3">
      <c r="B68" s="82" t="s">
        <v>30</v>
      </c>
      <c r="C68" s="403"/>
      <c r="D68" s="327"/>
      <c r="K68" s="17"/>
    </row>
    <row r="69" spans="1:11" x14ac:dyDescent="0.3">
      <c r="B69" s="2"/>
      <c r="C69" s="8"/>
      <c r="D69" s="86"/>
      <c r="K69" s="17"/>
    </row>
    <row r="70" spans="1:11" ht="17.25" x14ac:dyDescent="0.35">
      <c r="B70" s="10" t="s">
        <v>31</v>
      </c>
      <c r="C70" s="7"/>
      <c r="D70" s="202"/>
      <c r="K70" s="17"/>
    </row>
    <row r="71" spans="1:11" ht="17.25" x14ac:dyDescent="0.35">
      <c r="B71" s="77" t="s">
        <v>26</v>
      </c>
      <c r="C71" s="83"/>
      <c r="D71" s="201"/>
      <c r="E71" s="6"/>
      <c r="K71" s="17"/>
    </row>
    <row r="72" spans="1:11" x14ac:dyDescent="0.3">
      <c r="B72" s="78" t="s">
        <v>27</v>
      </c>
      <c r="C72" s="83"/>
      <c r="D72" s="201"/>
      <c r="K72" s="17"/>
    </row>
    <row r="73" spans="1:11" x14ac:dyDescent="0.3">
      <c r="B73" s="78" t="s">
        <v>28</v>
      </c>
      <c r="C73" s="83"/>
      <c r="D73" s="201"/>
      <c r="K73" s="17"/>
    </row>
    <row r="74" spans="1:11" x14ac:dyDescent="0.3">
      <c r="B74" s="78" t="s">
        <v>29</v>
      </c>
      <c r="C74" s="83"/>
      <c r="D74" s="201"/>
      <c r="K74" s="17"/>
    </row>
    <row r="75" spans="1:11" x14ac:dyDescent="0.3">
      <c r="B75" s="78" t="s">
        <v>30</v>
      </c>
      <c r="C75" s="403"/>
      <c r="D75" s="327"/>
      <c r="K75" s="17"/>
    </row>
    <row r="76" spans="1:11" ht="17.25" x14ac:dyDescent="0.35">
      <c r="A76" s="7"/>
      <c r="B76" s="82" t="s">
        <v>276</v>
      </c>
      <c r="C76" s="83"/>
      <c r="D76" s="201" t="s">
        <v>378</v>
      </c>
      <c r="E76" s="6"/>
      <c r="K76" s="17"/>
    </row>
    <row r="77" spans="1:11" x14ac:dyDescent="0.3">
      <c r="A77" s="7"/>
      <c r="B77" s="2"/>
      <c r="C77" s="8"/>
      <c r="D77" s="86"/>
      <c r="K77" s="17"/>
    </row>
    <row r="78" spans="1:11" ht="17.25" x14ac:dyDescent="0.35">
      <c r="B78" s="10" t="s">
        <v>32</v>
      </c>
      <c r="C78" s="7"/>
      <c r="D78" s="202"/>
      <c r="K78" s="17"/>
    </row>
    <row r="79" spans="1:11" ht="17.25" x14ac:dyDescent="0.35">
      <c r="B79" s="77" t="s">
        <v>26</v>
      </c>
      <c r="C79" s="83"/>
      <c r="D79" s="201"/>
      <c r="E79" s="6"/>
      <c r="K79" s="17"/>
    </row>
    <row r="80" spans="1:11" x14ac:dyDescent="0.3">
      <c r="B80" s="78" t="s">
        <v>27</v>
      </c>
      <c r="C80" s="83"/>
      <c r="D80" s="201"/>
      <c r="K80" s="17"/>
    </row>
    <row r="81" spans="1:11" x14ac:dyDescent="0.3">
      <c r="B81" s="78" t="s">
        <v>28</v>
      </c>
      <c r="C81" s="83"/>
      <c r="D81" s="201"/>
      <c r="K81" s="17"/>
    </row>
    <row r="82" spans="1:11" x14ac:dyDescent="0.3">
      <c r="B82" s="78" t="s">
        <v>29</v>
      </c>
      <c r="C82" s="83"/>
      <c r="D82" s="201"/>
      <c r="K82" s="17"/>
    </row>
    <row r="83" spans="1:11" x14ac:dyDescent="0.3">
      <c r="B83" s="78" t="s">
        <v>30</v>
      </c>
      <c r="C83" s="403"/>
      <c r="D83" s="327"/>
      <c r="K83" s="17"/>
    </row>
    <row r="84" spans="1:11" ht="17.25" x14ac:dyDescent="0.35">
      <c r="A84" s="7"/>
      <c r="B84" s="82" t="s">
        <v>276</v>
      </c>
      <c r="C84" s="83"/>
      <c r="D84" s="201" t="s">
        <v>378</v>
      </c>
      <c r="E84" s="6"/>
      <c r="K84" s="17"/>
    </row>
    <row r="85" spans="1:11" x14ac:dyDescent="0.3">
      <c r="A85" s="7"/>
      <c r="B85" s="2"/>
      <c r="C85" s="7"/>
      <c r="D85" s="86"/>
      <c r="K85" s="17"/>
    </row>
    <row r="86" spans="1:11" ht="17.25" x14ac:dyDescent="0.35">
      <c r="A86" s="7"/>
      <c r="B86" s="10" t="s">
        <v>33</v>
      </c>
      <c r="C86" s="85"/>
      <c r="D86" s="202"/>
      <c r="K86" s="17"/>
    </row>
    <row r="87" spans="1:11" x14ac:dyDescent="0.3">
      <c r="A87" s="7"/>
      <c r="B87" s="77" t="s">
        <v>26</v>
      </c>
      <c r="C87" s="83"/>
      <c r="D87" s="201"/>
      <c r="K87" s="17"/>
    </row>
    <row r="88" spans="1:11" x14ac:dyDescent="0.3">
      <c r="B88" s="78" t="s">
        <v>27</v>
      </c>
      <c r="C88" s="83"/>
      <c r="D88" s="201"/>
      <c r="K88" s="17"/>
    </row>
    <row r="89" spans="1:11" x14ac:dyDescent="0.3">
      <c r="B89" s="78" t="s">
        <v>28</v>
      </c>
      <c r="C89" s="83"/>
      <c r="D89" s="201"/>
      <c r="K89" s="17"/>
    </row>
    <row r="90" spans="1:11" ht="17.25" x14ac:dyDescent="0.35">
      <c r="B90" s="78" t="s">
        <v>29</v>
      </c>
      <c r="C90" s="83"/>
      <c r="D90" s="201"/>
      <c r="E90" s="6"/>
      <c r="K90" s="17"/>
    </row>
    <row r="91" spans="1:11" x14ac:dyDescent="0.3">
      <c r="B91" s="78" t="s">
        <v>275</v>
      </c>
      <c r="C91" s="83"/>
      <c r="D91" s="201" t="s">
        <v>379</v>
      </c>
      <c r="K91" s="17"/>
    </row>
    <row r="92" spans="1:11" x14ac:dyDescent="0.3">
      <c r="A92" s="7"/>
      <c r="B92" s="78" t="s">
        <v>276</v>
      </c>
      <c r="C92" s="83"/>
      <c r="D92" s="201" t="s">
        <v>378</v>
      </c>
      <c r="K92" s="17"/>
    </row>
    <row r="93" spans="1:11" x14ac:dyDescent="0.3">
      <c r="A93" s="7"/>
      <c r="B93" s="82" t="s">
        <v>30</v>
      </c>
      <c r="C93" s="403"/>
      <c r="D93" s="327"/>
      <c r="K93" s="17"/>
    </row>
    <row r="94" spans="1:11" x14ac:dyDescent="0.3">
      <c r="A94" s="7"/>
      <c r="B94" s="2"/>
      <c r="C94" s="8"/>
      <c r="D94" s="86"/>
      <c r="K94" s="17"/>
    </row>
    <row r="95" spans="1:11" ht="17.25" x14ac:dyDescent="0.35">
      <c r="B95" s="10" t="s">
        <v>34</v>
      </c>
      <c r="C95" s="7"/>
      <c r="D95" s="202"/>
      <c r="K95" s="17"/>
    </row>
    <row r="96" spans="1:11" x14ac:dyDescent="0.3">
      <c r="B96" s="77" t="s">
        <v>26</v>
      </c>
      <c r="C96" s="83"/>
      <c r="D96" s="201"/>
      <c r="K96" s="17"/>
    </row>
    <row r="97" spans="1:11" x14ac:dyDescent="0.3">
      <c r="B97" s="78" t="s">
        <v>27</v>
      </c>
      <c r="C97" s="83"/>
      <c r="D97" s="201"/>
      <c r="K97" s="17"/>
    </row>
    <row r="98" spans="1:11" x14ac:dyDescent="0.3">
      <c r="B98" s="78" t="s">
        <v>28</v>
      </c>
      <c r="C98" s="83"/>
      <c r="D98" s="201"/>
      <c r="K98" s="17"/>
    </row>
    <row r="99" spans="1:11" ht="17.25" x14ac:dyDescent="0.35">
      <c r="B99" s="78" t="s">
        <v>29</v>
      </c>
      <c r="C99" s="83"/>
      <c r="D99" s="201"/>
      <c r="E99" s="6"/>
      <c r="K99" s="17"/>
    </row>
    <row r="100" spans="1:11" x14ac:dyDescent="0.3">
      <c r="B100" s="78" t="s">
        <v>275</v>
      </c>
      <c r="C100" s="83"/>
      <c r="D100" s="201" t="s">
        <v>379</v>
      </c>
      <c r="K100" s="17"/>
    </row>
    <row r="101" spans="1:11" x14ac:dyDescent="0.3">
      <c r="A101" s="7"/>
      <c r="B101" s="78" t="s">
        <v>276</v>
      </c>
      <c r="C101" s="83"/>
      <c r="D101" s="201" t="s">
        <v>378</v>
      </c>
      <c r="K101" s="17"/>
    </row>
    <row r="102" spans="1:11" x14ac:dyDescent="0.3">
      <c r="A102" s="7"/>
      <c r="B102" s="82" t="s">
        <v>30</v>
      </c>
      <c r="C102" s="403"/>
      <c r="D102" s="327"/>
      <c r="K102" s="17"/>
    </row>
    <row r="103" spans="1:11" x14ac:dyDescent="0.3">
      <c r="A103" s="7"/>
      <c r="B103" s="2"/>
      <c r="C103" s="7"/>
      <c r="D103" s="86"/>
      <c r="K103" s="17"/>
    </row>
    <row r="104" spans="1:11" ht="17.25" x14ac:dyDescent="0.35">
      <c r="A104" s="7"/>
      <c r="B104" s="10" t="s">
        <v>441</v>
      </c>
      <c r="C104" s="7"/>
      <c r="D104" s="202"/>
      <c r="K104" s="17"/>
    </row>
    <row r="105" spans="1:11" x14ac:dyDescent="0.3">
      <c r="B105" s="77" t="s">
        <v>26</v>
      </c>
      <c r="C105" s="83"/>
      <c r="D105" s="201"/>
      <c r="K105" s="17"/>
    </row>
    <row r="106" spans="1:11" x14ac:dyDescent="0.3">
      <c r="B106" s="78" t="s">
        <v>27</v>
      </c>
      <c r="C106" s="83"/>
      <c r="D106" s="201"/>
      <c r="K106" s="17"/>
    </row>
    <row r="107" spans="1:11" x14ac:dyDescent="0.3">
      <c r="B107" s="78" t="s">
        <v>28</v>
      </c>
      <c r="C107" s="83"/>
      <c r="D107" s="201"/>
      <c r="K107" s="17"/>
    </row>
    <row r="108" spans="1:11" x14ac:dyDescent="0.3">
      <c r="B108" s="78" t="s">
        <v>29</v>
      </c>
      <c r="C108" s="83"/>
      <c r="D108" s="201"/>
      <c r="K108" s="17"/>
    </row>
    <row r="109" spans="1:11" ht="17.25" thickBot="1" x14ac:dyDescent="0.35">
      <c r="B109" s="80" t="s">
        <v>30</v>
      </c>
      <c r="C109" s="404"/>
      <c r="D109" s="328"/>
      <c r="K109" s="17"/>
    </row>
    <row r="110" spans="1:11" x14ac:dyDescent="0.3">
      <c r="D110" s="162"/>
      <c r="K110" s="17"/>
    </row>
    <row r="111" spans="1:11" ht="17.25" x14ac:dyDescent="0.35">
      <c r="A111" s="17"/>
      <c r="B111" s="18"/>
      <c r="C111" s="17"/>
      <c r="D111" s="17"/>
      <c r="E111" s="17"/>
      <c r="F111" s="17"/>
      <c r="G111" s="17"/>
      <c r="H111" s="17"/>
      <c r="I111" s="17"/>
      <c r="J111" s="229"/>
      <c r="K111" s="229"/>
    </row>
  </sheetData>
  <sheetProtection password="CA08" sheet="1" objects="1" scenarios="1" selectLockedCells="1"/>
  <customSheetViews>
    <customSheetView guid="{2A4C6EB9-430A-44F2-86C8-15B50360FC3B}" scale="80" showGridLines="0" zeroValues="0" topLeftCell="A61">
      <selection activeCell="B68" sqref="B68"/>
      <pageMargins left="0.7" right="0.7" top="0.75" bottom="0.75" header="0.3" footer="0.3"/>
      <pageSetup orientation="portrait" r:id="rId1"/>
    </customSheetView>
    <customSheetView guid="{B3BD5AF3-9A64-4EA7-AE1F-3CC326849B8F}" scale="80" showGridLines="0" zeroValues="0">
      <selection activeCell="D113" sqref="D113"/>
      <pageMargins left="0.7" right="0.7" top="0.75" bottom="0.75" header="0.3" footer="0.3"/>
      <pageSetup orientation="portrait" r:id="rId2"/>
    </customSheetView>
  </customSheetViews>
  <mergeCells count="15">
    <mergeCell ref="B21:D21"/>
    <mergeCell ref="B2:C2"/>
    <mergeCell ref="B11:C11"/>
    <mergeCell ref="F12:G12"/>
    <mergeCell ref="F22:I22"/>
    <mergeCell ref="B15:C15"/>
    <mergeCell ref="F30:G30"/>
    <mergeCell ref="F31:G31"/>
    <mergeCell ref="F23:I25"/>
    <mergeCell ref="F28:G28"/>
    <mergeCell ref="F3:G3"/>
    <mergeCell ref="F13:G13"/>
    <mergeCell ref="F26:G26"/>
    <mergeCell ref="F27:G27"/>
    <mergeCell ref="F29:G29"/>
  </mergeCells>
  <phoneticPr fontId="26" type="noConversion"/>
  <conditionalFormatting sqref="C42:C44">
    <cfRule type="expression" dxfId="77" priority="2" stopIfTrue="1">
      <formula>$C$24="Central Air Conditioner"</formula>
    </cfRule>
  </conditionalFormatting>
  <dataValidations count="5">
    <dataValidation type="list" showInputMessage="1" showErrorMessage="1" sqref="C27 C32:C35" xr:uid="{00000000-0002-0000-0100-000000000000}">
      <formula1>Yes_No</formula1>
    </dataValidation>
    <dataValidation type="list" showInputMessage="1" showErrorMessage="1" sqref="C30" xr:uid="{00000000-0002-0000-0100-000001000000}">
      <formula1>Refrigerant_Type</formula1>
    </dataValidation>
    <dataValidation type="list" showInputMessage="1" showErrorMessage="1" sqref="C24" xr:uid="{00000000-0002-0000-0100-000002000000}">
      <formula1>Product_Type</formula1>
    </dataValidation>
    <dataValidation type="list" showInputMessage="1" showErrorMessage="1" sqref="C25" xr:uid="{00000000-0002-0000-0100-000003000000}">
      <formula1>Compressor_Type</formula1>
    </dataValidation>
    <dataValidation type="list" showInputMessage="1" showErrorMessage="1" sqref="C26" xr:uid="{00000000-0002-0000-0100-000004000000}">
      <formula1>Fan_Type</formula1>
    </dataValidation>
  </dataValidations>
  <hyperlinks>
    <hyperlink ref="F3" location="Instructions!A1" display="Back to Instructions" xr:uid="{00000000-0004-0000-0100-000000000000}"/>
    <hyperlink ref="F3:G3" location="Instructions!A1" display="Back to Instructions tab" xr:uid="{00000000-0004-0000-0100-000001000000}"/>
  </hyperlinks>
  <pageMargins left="0.7" right="0.7" top="0.75" bottom="0.75" header="0.3" footer="0.3"/>
  <pageSetup scale="69" orientation="portrait" r:id="rId3"/>
  <colBreaks count="1" manualBreakCount="1">
    <brk id="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rgb="FF0070C0"/>
  </sheetPr>
  <dimension ref="A1:K155"/>
  <sheetViews>
    <sheetView showGridLines="0" showZeros="0" zoomScale="80" zoomScaleNormal="80" workbookViewId="0">
      <selection activeCell="E2" sqref="E2:F2"/>
    </sheetView>
  </sheetViews>
  <sheetFormatPr defaultColWidth="9.140625" defaultRowHeight="16.5" x14ac:dyDescent="0.3"/>
  <cols>
    <col min="1" max="1" width="5.42578125" style="5" customWidth="1"/>
    <col min="2" max="2" width="30.42578125" style="5" customWidth="1"/>
    <col min="3" max="3" width="76.85546875" style="5" customWidth="1"/>
    <col min="4" max="6" width="13.7109375" style="5" customWidth="1"/>
    <col min="7" max="7" width="7.7109375" style="5" customWidth="1"/>
    <col min="8" max="8" width="24.140625" style="5" customWidth="1"/>
    <col min="9" max="9" width="21.42578125" style="5" customWidth="1"/>
    <col min="10" max="10" width="6.140625" style="110" customWidth="1"/>
    <col min="11" max="11" width="4.42578125" style="5" customWidth="1"/>
    <col min="12" max="16384" width="9.140625" style="5"/>
  </cols>
  <sheetData>
    <row r="1" spans="1:11" ht="17.25" thickBot="1" x14ac:dyDescent="0.35">
      <c r="A1" s="162"/>
      <c r="J1" s="123"/>
      <c r="K1" s="17"/>
    </row>
    <row r="2" spans="1:11" s="1" customFormat="1" ht="18" thickBot="1" x14ac:dyDescent="0.35">
      <c r="B2" s="805" t="s">
        <v>622</v>
      </c>
      <c r="C2" s="806"/>
      <c r="E2" s="840" t="s">
        <v>553</v>
      </c>
      <c r="F2" s="840"/>
      <c r="J2" s="124"/>
      <c r="K2" s="125"/>
    </row>
    <row r="3" spans="1:11" s="121" customFormat="1" ht="15.75" customHeight="1" thickBot="1" x14ac:dyDescent="0.35">
      <c r="B3" s="365" t="s">
        <v>623</v>
      </c>
      <c r="C3" s="366" t="str">
        <f>'Version Control'!C3</f>
        <v>Commercial Air Conditioner and Heat Pump</v>
      </c>
      <c r="J3" s="157"/>
      <c r="K3" s="158"/>
    </row>
    <row r="4" spans="1:11" s="1" customFormat="1" ht="18" thickBot="1" x14ac:dyDescent="0.35">
      <c r="B4" s="367" t="s">
        <v>142</v>
      </c>
      <c r="C4" s="368" t="str">
        <f>'Version Control'!C4</f>
        <v>v2.2</v>
      </c>
      <c r="H4" s="802" t="s">
        <v>351</v>
      </c>
      <c r="I4" s="804"/>
      <c r="J4" s="124"/>
      <c r="K4" s="125"/>
    </row>
    <row r="5" spans="1:11" s="1" customFormat="1" x14ac:dyDescent="0.3">
      <c r="B5" s="367" t="s">
        <v>475</v>
      </c>
      <c r="C5" s="369">
        <f>'Version Control'!C5</f>
        <v>43353</v>
      </c>
      <c r="H5" s="51" t="s">
        <v>160</v>
      </c>
      <c r="I5" s="337">
        <f>'General Info and Test Results'!C24</f>
        <v>0</v>
      </c>
      <c r="J5" s="124"/>
      <c r="K5" s="125"/>
    </row>
    <row r="6" spans="1:11" s="1" customFormat="1" x14ac:dyDescent="0.3">
      <c r="B6" s="370" t="s">
        <v>141</v>
      </c>
      <c r="C6" s="371" t="str">
        <f ca="1">MID(CELL("filename",$A$1), FIND("]", CELL("filename", $A$1))+ 1, 255)</f>
        <v>Optional H1C Test Recorded Data</v>
      </c>
      <c r="H6" s="52" t="s">
        <v>155</v>
      </c>
      <c r="I6" s="338">
        <f>'General Info and Test Results'!C25</f>
        <v>0</v>
      </c>
      <c r="J6" s="124"/>
      <c r="K6" s="125"/>
    </row>
    <row r="7" spans="1: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1:11" s="1" customFormat="1" ht="17.25" thickBot="1" x14ac:dyDescent="0.35">
      <c r="B8" s="372" t="s">
        <v>143</v>
      </c>
      <c r="C8" s="373" t="str">
        <f>'Version Control'!C8</f>
        <v>[MM/DD/YYYY]</v>
      </c>
      <c r="G8" s="12"/>
      <c r="H8" s="8"/>
      <c r="J8" s="124"/>
      <c r="K8" s="125"/>
    </row>
    <row r="9" spans="1:11" s="1" customFormat="1" x14ac:dyDescent="0.3">
      <c r="B9" s="112"/>
      <c r="C9" s="450"/>
      <c r="D9" s="451"/>
      <c r="E9" s="451"/>
      <c r="F9" s="451"/>
      <c r="G9" s="483"/>
      <c r="H9" s="8"/>
      <c r="J9" s="124"/>
      <c r="K9" s="125"/>
    </row>
    <row r="10" spans="1:11" s="1" customFormat="1" ht="17.25" thickBot="1" x14ac:dyDescent="0.35">
      <c r="B10" s="112"/>
      <c r="C10" s="450"/>
      <c r="D10" s="451"/>
      <c r="E10" s="451"/>
      <c r="F10" s="451"/>
      <c r="G10" s="451"/>
      <c r="J10" s="124"/>
      <c r="K10" s="125"/>
    </row>
    <row r="11" spans="1:11" ht="18.75" thickBot="1" x14ac:dyDescent="0.4">
      <c r="B11" s="939" t="str">
        <f>IF(AND('General Info and Test Results'!C25 = "Single-Speed",'General Info and Test Results'!C26= "Fixed Speed"), "H1C Test Data to be recorded", "H1C-1 Test Data to be recorded")</f>
        <v>H1C-1 Test Data to be recorded</v>
      </c>
      <c r="C11" s="940"/>
      <c r="D11" s="940"/>
      <c r="E11" s="940"/>
      <c r="F11" s="940"/>
      <c r="G11" s="941"/>
      <c r="K11" s="17"/>
    </row>
    <row r="12" spans="1:11" ht="18" x14ac:dyDescent="0.35">
      <c r="B12" s="517"/>
      <c r="C12" s="421"/>
      <c r="D12" s="421"/>
      <c r="E12" s="421"/>
      <c r="F12" s="421"/>
      <c r="G12" s="422"/>
      <c r="K12" s="17"/>
    </row>
    <row r="13" spans="1:11" ht="17.25" x14ac:dyDescent="0.35">
      <c r="B13" s="400"/>
      <c r="C13" s="457" t="s">
        <v>487</v>
      </c>
      <c r="D13" s="454"/>
      <c r="E13" s="388"/>
      <c r="F13" s="388"/>
      <c r="G13" s="428"/>
      <c r="H13" s="134"/>
      <c r="K13" s="17"/>
    </row>
    <row r="14" spans="1:11" ht="18" thickBot="1" x14ac:dyDescent="0.4">
      <c r="B14" s="400"/>
      <c r="C14" s="388"/>
      <c r="D14" s="388"/>
      <c r="E14" s="388"/>
      <c r="F14" s="405"/>
      <c r="G14" s="428"/>
      <c r="K14" s="17"/>
    </row>
    <row r="15" spans="1:11" ht="18" thickBot="1" x14ac:dyDescent="0.4">
      <c r="B15" s="400"/>
      <c r="C15" s="913" t="s">
        <v>55</v>
      </c>
      <c r="D15" s="914"/>
      <c r="E15" s="914"/>
      <c r="F15" s="915"/>
      <c r="G15" s="428"/>
      <c r="K15" s="17"/>
    </row>
    <row r="16" spans="1:11" ht="17.25" x14ac:dyDescent="0.35">
      <c r="B16" s="395"/>
      <c r="C16" s="398"/>
      <c r="D16" s="955" t="s">
        <v>48</v>
      </c>
      <c r="E16" s="955"/>
      <c r="F16" s="956"/>
      <c r="G16" s="428"/>
      <c r="I16" s="127"/>
      <c r="J16" s="136"/>
      <c r="K16" s="17"/>
    </row>
    <row r="17" spans="2:11" ht="17.25" x14ac:dyDescent="0.35">
      <c r="B17" s="400"/>
      <c r="C17" s="395"/>
      <c r="D17" s="409" t="s">
        <v>56</v>
      </c>
      <c r="E17" s="409" t="s">
        <v>57</v>
      </c>
      <c r="F17" s="410" t="s">
        <v>58</v>
      </c>
      <c r="G17" s="428"/>
      <c r="I17" s="127"/>
      <c r="J17" s="136"/>
      <c r="K17" s="17"/>
    </row>
    <row r="18" spans="2:11" x14ac:dyDescent="0.3">
      <c r="B18" s="395"/>
      <c r="C18" s="386" t="s">
        <v>442</v>
      </c>
      <c r="D18" s="403"/>
      <c r="E18" s="403"/>
      <c r="F18" s="390"/>
      <c r="G18" s="428"/>
      <c r="I18" s="128"/>
      <c r="J18" s="137"/>
      <c r="K18" s="17"/>
    </row>
    <row r="19" spans="2:11" x14ac:dyDescent="0.3">
      <c r="B19" s="395"/>
      <c r="C19" s="386" t="s">
        <v>443</v>
      </c>
      <c r="D19" s="403"/>
      <c r="E19" s="403"/>
      <c r="F19" s="390"/>
      <c r="G19" s="428"/>
      <c r="I19" s="128"/>
      <c r="J19" s="137"/>
      <c r="K19" s="17"/>
    </row>
    <row r="20" spans="2:11" x14ac:dyDescent="0.3">
      <c r="B20" s="395"/>
      <c r="C20" s="414" t="s">
        <v>59</v>
      </c>
      <c r="D20" s="403"/>
      <c r="E20" s="403"/>
      <c r="F20" s="390"/>
      <c r="G20" s="428"/>
      <c r="I20" s="128"/>
      <c r="J20" s="137"/>
      <c r="K20" s="17"/>
    </row>
    <row r="21" spans="2:11" x14ac:dyDescent="0.3">
      <c r="B21" s="395"/>
      <c r="C21" s="414" t="s">
        <v>60</v>
      </c>
      <c r="D21" s="403"/>
      <c r="E21" s="403"/>
      <c r="F21" s="390"/>
      <c r="G21" s="428"/>
      <c r="I21" s="128"/>
      <c r="J21" s="137"/>
      <c r="K21" s="17"/>
    </row>
    <row r="22" spans="2:11" x14ac:dyDescent="0.3">
      <c r="B22" s="395"/>
      <c r="C22" s="386" t="s">
        <v>459</v>
      </c>
      <c r="D22" s="403"/>
      <c r="E22" s="388"/>
      <c r="F22" s="399"/>
      <c r="G22" s="428"/>
      <c r="I22" s="128"/>
      <c r="J22" s="137"/>
      <c r="K22" s="17"/>
    </row>
    <row r="23" spans="2:11" s="159" customFormat="1" ht="17.25" thickBot="1" x14ac:dyDescent="0.35">
      <c r="B23" s="520"/>
      <c r="C23" s="521" t="s">
        <v>477</v>
      </c>
      <c r="D23" s="522"/>
      <c r="E23" s="523"/>
      <c r="F23" s="524"/>
      <c r="G23" s="525"/>
      <c r="I23" s="163"/>
      <c r="J23" s="164"/>
      <c r="K23" s="161"/>
    </row>
    <row r="24" spans="2:11" ht="17.25" thickBot="1" x14ac:dyDescent="0.35">
      <c r="B24" s="395"/>
      <c r="C24" s="407"/>
      <c r="D24" s="388"/>
      <c r="E24" s="388"/>
      <c r="F24" s="388"/>
      <c r="G24" s="428"/>
      <c r="I24" s="128"/>
      <c r="J24" s="137"/>
      <c r="K24" s="17"/>
    </row>
    <row r="25" spans="2:11" ht="18" thickBot="1" x14ac:dyDescent="0.4">
      <c r="B25" s="395"/>
      <c r="C25" s="913" t="s">
        <v>61</v>
      </c>
      <c r="D25" s="914"/>
      <c r="E25" s="914"/>
      <c r="F25" s="915"/>
      <c r="G25" s="428"/>
      <c r="I25" s="128"/>
      <c r="J25" s="137"/>
      <c r="K25" s="17"/>
    </row>
    <row r="26" spans="2:11" ht="17.25" x14ac:dyDescent="0.35">
      <c r="B26" s="395"/>
      <c r="C26" s="429"/>
      <c r="D26" s="955" t="s">
        <v>48</v>
      </c>
      <c r="E26" s="955"/>
      <c r="F26" s="956"/>
      <c r="G26" s="428"/>
      <c r="I26" s="128"/>
      <c r="J26" s="137"/>
      <c r="K26" s="17"/>
    </row>
    <row r="27" spans="2:11" ht="17.25" x14ac:dyDescent="0.35">
      <c r="B27" s="400"/>
      <c r="C27" s="408"/>
      <c r="D27" s="409" t="s">
        <v>56</v>
      </c>
      <c r="E27" s="409" t="s">
        <v>57</v>
      </c>
      <c r="F27" s="410" t="s">
        <v>58</v>
      </c>
      <c r="G27" s="428"/>
      <c r="I27" s="128"/>
      <c r="J27" s="137"/>
      <c r="K27" s="17"/>
    </row>
    <row r="28" spans="2:11" x14ac:dyDescent="0.3">
      <c r="B28" s="395"/>
      <c r="C28" s="414" t="s">
        <v>62</v>
      </c>
      <c r="D28" s="403"/>
      <c r="E28" s="403"/>
      <c r="F28" s="390"/>
      <c r="G28" s="428"/>
      <c r="I28" s="128"/>
      <c r="J28" s="137"/>
      <c r="K28" s="17"/>
    </row>
    <row r="29" spans="2:11" x14ac:dyDescent="0.3">
      <c r="B29" s="395"/>
      <c r="C29" s="414" t="s">
        <v>63</v>
      </c>
      <c r="D29" s="403"/>
      <c r="E29" s="403"/>
      <c r="F29" s="390"/>
      <c r="G29" s="428"/>
      <c r="I29" s="128"/>
      <c r="J29" s="137"/>
      <c r="K29" s="17"/>
    </row>
    <row r="30" spans="2:11" x14ac:dyDescent="0.3">
      <c r="B30" s="395"/>
      <c r="C30" s="414" t="s">
        <v>64</v>
      </c>
      <c r="D30" s="403"/>
      <c r="E30" s="403"/>
      <c r="F30" s="390"/>
      <c r="G30" s="428"/>
      <c r="I30" s="128"/>
      <c r="J30" s="137"/>
      <c r="K30" s="17"/>
    </row>
    <row r="31" spans="2:11" x14ac:dyDescent="0.3">
      <c r="B31" s="395"/>
      <c r="C31" s="414" t="s">
        <v>422</v>
      </c>
      <c r="D31" s="403"/>
      <c r="E31" s="403"/>
      <c r="F31" s="390"/>
      <c r="G31" s="428"/>
      <c r="I31" s="128"/>
      <c r="J31" s="137"/>
      <c r="K31" s="17"/>
    </row>
    <row r="32" spans="2:11" ht="17.25" thickBot="1" x14ac:dyDescent="0.35">
      <c r="B32" s="395"/>
      <c r="C32" s="391" t="s">
        <v>437</v>
      </c>
      <c r="D32" s="404"/>
      <c r="E32" s="404"/>
      <c r="F32" s="392"/>
      <c r="G32" s="428"/>
      <c r="I32" s="128"/>
      <c r="J32" s="137"/>
      <c r="K32" s="17"/>
    </row>
    <row r="33" spans="2:11" ht="17.25" thickBot="1" x14ac:dyDescent="0.35">
      <c r="B33" s="395"/>
      <c r="C33" s="388"/>
      <c r="D33" s="388"/>
      <c r="E33" s="388"/>
      <c r="F33" s="388"/>
      <c r="G33" s="428"/>
      <c r="I33" s="128"/>
      <c r="J33" s="137"/>
      <c r="K33" s="17"/>
    </row>
    <row r="34" spans="2:11" ht="18" thickBot="1" x14ac:dyDescent="0.4">
      <c r="B34" s="395"/>
      <c r="C34" s="913" t="s">
        <v>65</v>
      </c>
      <c r="D34" s="914"/>
      <c r="E34" s="914"/>
      <c r="F34" s="915"/>
      <c r="G34" s="428"/>
      <c r="I34" s="128"/>
      <c r="J34" s="137"/>
      <c r="K34" s="17"/>
    </row>
    <row r="35" spans="2:11" ht="17.25" x14ac:dyDescent="0.35">
      <c r="B35" s="395"/>
      <c r="C35" s="398"/>
      <c r="D35" s="955" t="s">
        <v>48</v>
      </c>
      <c r="E35" s="955"/>
      <c r="F35" s="956"/>
      <c r="G35" s="428"/>
      <c r="I35" s="128"/>
      <c r="J35" s="137"/>
      <c r="K35" s="17"/>
    </row>
    <row r="36" spans="2:11" ht="17.25" x14ac:dyDescent="0.35">
      <c r="B36" s="400"/>
      <c r="C36" s="395"/>
      <c r="D36" s="409" t="s">
        <v>56</v>
      </c>
      <c r="E36" s="409" t="s">
        <v>57</v>
      </c>
      <c r="F36" s="410" t="s">
        <v>58</v>
      </c>
      <c r="G36" s="428"/>
      <c r="I36" s="128"/>
      <c r="J36" s="137"/>
      <c r="K36" s="17"/>
    </row>
    <row r="37" spans="2:11" x14ac:dyDescent="0.3">
      <c r="B37" s="395"/>
      <c r="C37" s="414" t="s">
        <v>66</v>
      </c>
      <c r="D37" s="403"/>
      <c r="E37" s="403"/>
      <c r="F37" s="390"/>
      <c r="G37" s="428"/>
      <c r="I37" s="128"/>
      <c r="J37" s="137"/>
      <c r="K37" s="17"/>
    </row>
    <row r="38" spans="2:11" x14ac:dyDescent="0.3">
      <c r="B38" s="395"/>
      <c r="C38" s="414" t="s">
        <v>67</v>
      </c>
      <c r="D38" s="403"/>
      <c r="E38" s="403"/>
      <c r="F38" s="390"/>
      <c r="G38" s="428"/>
      <c r="I38" s="128"/>
      <c r="J38" s="137"/>
      <c r="K38" s="17"/>
    </row>
    <row r="39" spans="2:11" x14ac:dyDescent="0.3">
      <c r="B39" s="395"/>
      <c r="C39" s="414" t="s">
        <v>68</v>
      </c>
      <c r="D39" s="403"/>
      <c r="E39" s="403"/>
      <c r="F39" s="390"/>
      <c r="G39" s="428"/>
      <c r="I39" s="128"/>
      <c r="J39" s="137"/>
      <c r="K39" s="17"/>
    </row>
    <row r="40" spans="2:11" x14ac:dyDescent="0.3">
      <c r="B40" s="395"/>
      <c r="C40" s="414" t="s">
        <v>69</v>
      </c>
      <c r="D40" s="403"/>
      <c r="E40" s="403"/>
      <c r="F40" s="390"/>
      <c r="G40" s="428"/>
      <c r="I40" s="128"/>
      <c r="J40" s="137"/>
      <c r="K40" s="17"/>
    </row>
    <row r="41" spans="2:11" x14ac:dyDescent="0.3">
      <c r="B41" s="395"/>
      <c r="C41" s="414" t="s">
        <v>70</v>
      </c>
      <c r="D41" s="403"/>
      <c r="E41" s="403"/>
      <c r="F41" s="390"/>
      <c r="G41" s="428"/>
      <c r="I41" s="128"/>
      <c r="J41" s="137"/>
      <c r="K41" s="17"/>
    </row>
    <row r="42" spans="2:11" x14ac:dyDescent="0.3">
      <c r="B42" s="395"/>
      <c r="C42" s="414" t="s">
        <v>71</v>
      </c>
      <c r="D42" s="403"/>
      <c r="E42" s="403"/>
      <c r="F42" s="390"/>
      <c r="G42" s="428"/>
      <c r="I42" s="128"/>
      <c r="J42" s="137"/>
      <c r="K42" s="17"/>
    </row>
    <row r="43" spans="2:11" x14ac:dyDescent="0.3">
      <c r="B43" s="395"/>
      <c r="C43" s="414" t="s">
        <v>72</v>
      </c>
      <c r="D43" s="403"/>
      <c r="E43" s="403"/>
      <c r="F43" s="390"/>
      <c r="G43" s="428"/>
      <c r="I43" s="128"/>
      <c r="J43" s="137"/>
      <c r="K43" s="17"/>
    </row>
    <row r="44" spans="2:11" x14ac:dyDescent="0.3">
      <c r="B44" s="395"/>
      <c r="C44" s="414" t="s">
        <v>73</v>
      </c>
      <c r="D44" s="403"/>
      <c r="E44" s="403"/>
      <c r="F44" s="390"/>
      <c r="G44" s="428"/>
      <c r="I44" s="128"/>
      <c r="J44" s="137"/>
      <c r="K44" s="17"/>
    </row>
    <row r="45" spans="2:11" x14ac:dyDescent="0.3">
      <c r="B45" s="395"/>
      <c r="C45" s="414" t="s">
        <v>74</v>
      </c>
      <c r="D45" s="403"/>
      <c r="E45" s="403"/>
      <c r="F45" s="390"/>
      <c r="G45" s="428"/>
      <c r="I45" s="128"/>
      <c r="J45" s="137"/>
      <c r="K45" s="17"/>
    </row>
    <row r="46" spans="2:11" x14ac:dyDescent="0.3">
      <c r="B46" s="395"/>
      <c r="C46" s="414" t="s">
        <v>75</v>
      </c>
      <c r="D46" s="403"/>
      <c r="E46" s="403"/>
      <c r="F46" s="390"/>
      <c r="G46" s="428"/>
      <c r="I46" s="128"/>
      <c r="J46" s="137"/>
      <c r="K46" s="17"/>
    </row>
    <row r="47" spans="2:11" ht="17.25" thickBot="1" x14ac:dyDescent="0.35">
      <c r="B47" s="395"/>
      <c r="C47" s="415" t="s">
        <v>76</v>
      </c>
      <c r="D47" s="404"/>
      <c r="E47" s="404"/>
      <c r="F47" s="392"/>
      <c r="G47" s="428"/>
      <c r="I47" s="128"/>
      <c r="J47" s="137"/>
      <c r="K47" s="17"/>
    </row>
    <row r="48" spans="2:11" ht="17.25" thickBot="1" x14ac:dyDescent="0.35">
      <c r="B48" s="395"/>
      <c r="C48" s="388"/>
      <c r="D48" s="388"/>
      <c r="E48" s="388"/>
      <c r="F48" s="388"/>
      <c r="G48" s="428"/>
      <c r="I48" s="128"/>
      <c r="J48" s="137"/>
      <c r="K48" s="17"/>
    </row>
    <row r="49" spans="2:11" ht="18" thickBot="1" x14ac:dyDescent="0.4">
      <c r="B49" s="395"/>
      <c r="C49" s="913" t="s">
        <v>77</v>
      </c>
      <c r="D49" s="914"/>
      <c r="E49" s="914"/>
      <c r="F49" s="915"/>
      <c r="G49" s="428"/>
      <c r="I49" s="128"/>
      <c r="J49" s="137"/>
      <c r="K49" s="17"/>
    </row>
    <row r="50" spans="2:11" ht="17.25" x14ac:dyDescent="0.35">
      <c r="B50" s="395"/>
      <c r="C50" s="398"/>
      <c r="D50" s="955" t="s">
        <v>48</v>
      </c>
      <c r="E50" s="955"/>
      <c r="F50" s="956"/>
      <c r="G50" s="428"/>
      <c r="I50" s="128"/>
      <c r="J50" s="137"/>
      <c r="K50" s="17"/>
    </row>
    <row r="51" spans="2:11" ht="17.25" x14ac:dyDescent="0.35">
      <c r="B51" s="400"/>
      <c r="C51" s="395"/>
      <c r="D51" s="409" t="s">
        <v>56</v>
      </c>
      <c r="E51" s="409" t="s">
        <v>57</v>
      </c>
      <c r="F51" s="410" t="s">
        <v>58</v>
      </c>
      <c r="G51" s="428"/>
      <c r="I51" s="128"/>
      <c r="J51" s="137"/>
      <c r="K51" s="17"/>
    </row>
    <row r="52" spans="2:11" x14ac:dyDescent="0.3">
      <c r="B52" s="395"/>
      <c r="C52" s="414" t="s">
        <v>306</v>
      </c>
      <c r="D52" s="403"/>
      <c r="E52" s="403"/>
      <c r="F52" s="390"/>
      <c r="G52" s="428"/>
      <c r="I52" s="128"/>
      <c r="J52" s="137"/>
      <c r="K52" s="17"/>
    </row>
    <row r="53" spans="2:11" x14ac:dyDescent="0.3">
      <c r="B53" s="395"/>
      <c r="C53" s="414" t="s">
        <v>307</v>
      </c>
      <c r="D53" s="403"/>
      <c r="E53" s="403"/>
      <c r="F53" s="390"/>
      <c r="G53" s="428"/>
      <c r="I53" s="128"/>
      <c r="J53" s="137"/>
      <c r="K53" s="17"/>
    </row>
    <row r="54" spans="2:11" x14ac:dyDescent="0.3">
      <c r="B54" s="395"/>
      <c r="C54" s="414" t="s">
        <v>80</v>
      </c>
      <c r="D54" s="403"/>
      <c r="E54" s="403"/>
      <c r="F54" s="390"/>
      <c r="G54" s="428"/>
      <c r="I54" s="128"/>
      <c r="J54" s="137"/>
      <c r="K54" s="17"/>
    </row>
    <row r="55" spans="2:11" x14ac:dyDescent="0.3">
      <c r="B55" s="395"/>
      <c r="C55" s="414" t="s">
        <v>81</v>
      </c>
      <c r="D55" s="403"/>
      <c r="E55" s="403"/>
      <c r="F55" s="390"/>
      <c r="G55" s="428"/>
      <c r="I55" s="128"/>
      <c r="J55" s="137"/>
      <c r="K55" s="17"/>
    </row>
    <row r="56" spans="2:11" ht="17.25" thickBot="1" x14ac:dyDescent="0.35">
      <c r="B56" s="395"/>
      <c r="C56" s="412" t="s">
        <v>438</v>
      </c>
      <c r="D56" s="404"/>
      <c r="E56" s="404"/>
      <c r="F56" s="392"/>
      <c r="G56" s="428"/>
      <c r="I56" s="128"/>
      <c r="J56" s="137"/>
      <c r="K56" s="17"/>
    </row>
    <row r="57" spans="2:11" ht="17.25" thickBot="1" x14ac:dyDescent="0.35">
      <c r="B57" s="395"/>
      <c r="C57" s="388"/>
      <c r="D57" s="388"/>
      <c r="E57" s="388"/>
      <c r="F57" s="388"/>
      <c r="G57" s="428"/>
      <c r="I57" s="128"/>
      <c r="J57" s="137"/>
      <c r="K57" s="17"/>
    </row>
    <row r="58" spans="2:11" ht="18" thickBot="1" x14ac:dyDescent="0.4">
      <c r="B58" s="395"/>
      <c r="C58" s="913" t="s">
        <v>82</v>
      </c>
      <c r="D58" s="914"/>
      <c r="E58" s="914"/>
      <c r="F58" s="915"/>
      <c r="G58" s="428"/>
      <c r="I58" s="128"/>
      <c r="J58" s="137"/>
      <c r="K58" s="17"/>
    </row>
    <row r="59" spans="2:11" ht="17.25" x14ac:dyDescent="0.35">
      <c r="B59" s="395"/>
      <c r="C59" s="398"/>
      <c r="D59" s="955" t="s">
        <v>48</v>
      </c>
      <c r="E59" s="955"/>
      <c r="F59" s="956"/>
      <c r="G59" s="428"/>
      <c r="I59" s="128"/>
      <c r="J59" s="137"/>
      <c r="K59" s="17"/>
    </row>
    <row r="60" spans="2:11" ht="17.25" x14ac:dyDescent="0.35">
      <c r="B60" s="413"/>
      <c r="C60" s="395"/>
      <c r="D60" s="409" t="s">
        <v>56</v>
      </c>
      <c r="E60" s="409" t="s">
        <v>57</v>
      </c>
      <c r="F60" s="410" t="s">
        <v>58</v>
      </c>
      <c r="G60" s="428"/>
      <c r="I60" s="128"/>
      <c r="J60" s="137"/>
      <c r="K60" s="17"/>
    </row>
    <row r="61" spans="2:11" x14ac:dyDescent="0.3">
      <c r="B61" s="395"/>
      <c r="C61" s="414" t="s">
        <v>83</v>
      </c>
      <c r="D61" s="403"/>
      <c r="E61" s="403"/>
      <c r="F61" s="390"/>
      <c r="G61" s="428"/>
      <c r="I61" s="128"/>
      <c r="J61" s="137"/>
      <c r="K61" s="17"/>
    </row>
    <row r="62" spans="2:11" x14ac:dyDescent="0.3">
      <c r="B62" s="395"/>
      <c r="C62" s="414" t="s">
        <v>84</v>
      </c>
      <c r="D62" s="403"/>
      <c r="E62" s="403"/>
      <c r="F62" s="390"/>
      <c r="G62" s="428"/>
      <c r="I62" s="128"/>
      <c r="J62" s="137"/>
      <c r="K62" s="17"/>
    </row>
    <row r="63" spans="2:11" x14ac:dyDescent="0.3">
      <c r="B63" s="395"/>
      <c r="C63" s="414" t="s">
        <v>85</v>
      </c>
      <c r="D63" s="403"/>
      <c r="E63" s="403"/>
      <c r="F63" s="390"/>
      <c r="G63" s="428"/>
      <c r="I63" s="128"/>
      <c r="J63" s="137"/>
      <c r="K63" s="17"/>
    </row>
    <row r="64" spans="2:11" x14ac:dyDescent="0.3">
      <c r="B64" s="395"/>
      <c r="C64" s="414" t="s">
        <v>86</v>
      </c>
      <c r="D64" s="403"/>
      <c r="E64" s="403"/>
      <c r="F64" s="390"/>
      <c r="G64" s="428"/>
      <c r="I64" s="128"/>
      <c r="J64" s="137"/>
      <c r="K64" s="17"/>
    </row>
    <row r="65" spans="2:11" x14ac:dyDescent="0.3">
      <c r="B65" s="395"/>
      <c r="C65" s="414" t="s">
        <v>87</v>
      </c>
      <c r="D65" s="403"/>
      <c r="E65" s="403"/>
      <c r="F65" s="390"/>
      <c r="G65" s="428"/>
      <c r="I65" s="128"/>
      <c r="J65" s="137"/>
      <c r="K65" s="17"/>
    </row>
    <row r="66" spans="2:11" x14ac:dyDescent="0.3">
      <c r="B66" s="395"/>
      <c r="C66" s="414" t="s">
        <v>88</v>
      </c>
      <c r="D66" s="403"/>
      <c r="E66" s="403"/>
      <c r="F66" s="390"/>
      <c r="G66" s="428"/>
      <c r="I66" s="128"/>
      <c r="J66" s="137"/>
      <c r="K66" s="17"/>
    </row>
    <row r="67" spans="2:11" x14ac:dyDescent="0.3">
      <c r="B67" s="395"/>
      <c r="C67" s="414" t="s">
        <v>89</v>
      </c>
      <c r="D67" s="403"/>
      <c r="E67" s="403"/>
      <c r="F67" s="390"/>
      <c r="G67" s="428"/>
      <c r="I67" s="128"/>
      <c r="J67" s="137"/>
      <c r="K67" s="17"/>
    </row>
    <row r="68" spans="2:11" ht="17.25" thickBot="1" x14ac:dyDescent="0.35">
      <c r="B68" s="395"/>
      <c r="C68" s="415" t="s">
        <v>90</v>
      </c>
      <c r="D68" s="404"/>
      <c r="E68" s="404"/>
      <c r="F68" s="392"/>
      <c r="G68" s="428"/>
      <c r="I68" s="128"/>
      <c r="J68" s="137"/>
      <c r="K68" s="17"/>
    </row>
    <row r="69" spans="2:11" ht="17.25" thickBot="1" x14ac:dyDescent="0.35">
      <c r="B69" s="395"/>
      <c r="C69" s="388"/>
      <c r="D69" s="388"/>
      <c r="E69" s="388"/>
      <c r="F69" s="388"/>
      <c r="G69" s="428"/>
      <c r="I69" s="128"/>
      <c r="J69" s="137"/>
      <c r="K69" s="17"/>
    </row>
    <row r="70" spans="2:11" ht="18" thickBot="1" x14ac:dyDescent="0.4">
      <c r="B70" s="395"/>
      <c r="C70" s="913" t="s">
        <v>91</v>
      </c>
      <c r="D70" s="914"/>
      <c r="E70" s="914"/>
      <c r="F70" s="915"/>
      <c r="G70" s="428"/>
      <c r="I70" s="128"/>
      <c r="J70" s="137"/>
      <c r="K70" s="17"/>
    </row>
    <row r="71" spans="2:11" ht="17.25" x14ac:dyDescent="0.35">
      <c r="B71" s="400"/>
      <c r="C71" s="398"/>
      <c r="D71" s="955" t="s">
        <v>48</v>
      </c>
      <c r="E71" s="955"/>
      <c r="F71" s="956"/>
      <c r="G71" s="428"/>
      <c r="I71" s="128"/>
      <c r="J71" s="137"/>
      <c r="K71" s="17"/>
    </row>
    <row r="72" spans="2:11" s="159" customFormat="1" x14ac:dyDescent="0.3">
      <c r="B72" s="520"/>
      <c r="C72" s="526" t="s">
        <v>455</v>
      </c>
      <c r="D72" s="921"/>
      <c r="E72" s="921"/>
      <c r="F72" s="922"/>
      <c r="G72" s="525"/>
      <c r="I72" s="163"/>
      <c r="J72" s="164"/>
      <c r="K72" s="161"/>
    </row>
    <row r="73" spans="2:11" x14ac:dyDescent="0.3">
      <c r="B73" s="395"/>
      <c r="C73" s="414" t="s">
        <v>93</v>
      </c>
      <c r="D73" s="921"/>
      <c r="E73" s="921"/>
      <c r="F73" s="922"/>
      <c r="G73" s="428"/>
      <c r="I73" s="128"/>
      <c r="J73" s="137"/>
      <c r="K73" s="17"/>
    </row>
    <row r="74" spans="2:11" x14ac:dyDescent="0.3">
      <c r="B74" s="395"/>
      <c r="C74" s="411" t="s">
        <v>308</v>
      </c>
      <c r="D74" s="921"/>
      <c r="E74" s="921"/>
      <c r="F74" s="922"/>
      <c r="G74" s="428"/>
      <c r="I74" s="128"/>
      <c r="J74" s="137"/>
      <c r="K74" s="17"/>
    </row>
    <row r="75" spans="2:11" ht="33" x14ac:dyDescent="0.3">
      <c r="B75" s="395"/>
      <c r="C75" s="411" t="s">
        <v>456</v>
      </c>
      <c r="D75" s="946" t="str">
        <f>IF(D72+D74=0,"",D72+D74)</f>
        <v/>
      </c>
      <c r="E75" s="946"/>
      <c r="F75" s="947"/>
      <c r="G75" s="428"/>
      <c r="I75" s="129"/>
      <c r="J75" s="138"/>
      <c r="K75" s="17"/>
    </row>
    <row r="76" spans="2:11" x14ac:dyDescent="0.3">
      <c r="B76" s="395"/>
      <c r="C76" s="411" t="s">
        <v>95</v>
      </c>
      <c r="D76" s="921"/>
      <c r="E76" s="921"/>
      <c r="F76" s="922"/>
      <c r="G76" s="428"/>
      <c r="I76" s="129"/>
      <c r="J76" s="138"/>
      <c r="K76" s="17"/>
    </row>
    <row r="77" spans="2:11" ht="33" x14ac:dyDescent="0.3">
      <c r="B77" s="395"/>
      <c r="C77" s="411" t="s">
        <v>457</v>
      </c>
      <c r="D77" s="921"/>
      <c r="E77" s="921"/>
      <c r="F77" s="922"/>
      <c r="G77" s="428"/>
      <c r="I77" s="129"/>
      <c r="J77" s="138"/>
      <c r="K77" s="17"/>
    </row>
    <row r="78" spans="2:11" x14ac:dyDescent="0.3">
      <c r="B78" s="395"/>
      <c r="C78" s="411" t="s">
        <v>97</v>
      </c>
      <c r="D78" s="921"/>
      <c r="E78" s="921"/>
      <c r="F78" s="922"/>
      <c r="G78" s="428"/>
      <c r="I78" s="129"/>
      <c r="J78" s="138"/>
      <c r="K78" s="17"/>
    </row>
    <row r="79" spans="2:11" x14ac:dyDescent="0.3">
      <c r="B79" s="395"/>
      <c r="C79" s="414" t="s">
        <v>308</v>
      </c>
      <c r="D79" s="921"/>
      <c r="E79" s="921"/>
      <c r="F79" s="922"/>
      <c r="G79" s="428"/>
      <c r="I79" s="129"/>
      <c r="J79" s="138"/>
      <c r="K79" s="17"/>
    </row>
    <row r="80" spans="2:11" ht="33.75" thickBot="1" x14ac:dyDescent="0.35">
      <c r="B80" s="395"/>
      <c r="C80" s="412" t="s">
        <v>456</v>
      </c>
      <c r="D80" s="950" t="str">
        <f>IF(D77+D79=0,"",D77+D79)</f>
        <v/>
      </c>
      <c r="E80" s="950"/>
      <c r="F80" s="951"/>
      <c r="G80" s="428"/>
      <c r="I80" s="130"/>
      <c r="J80" s="137"/>
      <c r="K80" s="17"/>
    </row>
    <row r="81" spans="2:11" ht="17.25" thickBot="1" x14ac:dyDescent="0.35">
      <c r="B81" s="416"/>
      <c r="C81" s="405"/>
      <c r="D81" s="405"/>
      <c r="E81" s="405"/>
      <c r="F81" s="405"/>
      <c r="G81" s="433"/>
      <c r="I81" s="130"/>
      <c r="J81" s="137"/>
      <c r="K81" s="17"/>
    </row>
    <row r="82" spans="2:11" ht="17.25" thickBot="1" x14ac:dyDescent="0.35">
      <c r="B82" s="380"/>
      <c r="C82" s="380"/>
      <c r="D82" s="380"/>
      <c r="E82" s="380"/>
      <c r="F82" s="388"/>
      <c r="G82" s="434"/>
      <c r="K82" s="17"/>
    </row>
    <row r="83" spans="2:11" ht="18.75" thickBot="1" x14ac:dyDescent="0.4">
      <c r="B83" s="939" t="s">
        <v>435</v>
      </c>
      <c r="C83" s="940"/>
      <c r="D83" s="940"/>
      <c r="E83" s="940"/>
      <c r="F83" s="940"/>
      <c r="G83" s="941"/>
      <c r="K83" s="17"/>
    </row>
    <row r="84" spans="2:11" ht="18" x14ac:dyDescent="0.35">
      <c r="B84" s="527"/>
      <c r="C84" s="528"/>
      <c r="D84" s="528"/>
      <c r="E84" s="528"/>
      <c r="F84" s="528"/>
      <c r="G84" s="529"/>
      <c r="K84" s="17"/>
    </row>
    <row r="85" spans="2:11" ht="18" x14ac:dyDescent="0.35">
      <c r="B85" s="530"/>
      <c r="C85" s="457" t="s">
        <v>487</v>
      </c>
      <c r="D85" s="454"/>
      <c r="E85" s="531"/>
      <c r="F85" s="531"/>
      <c r="G85" s="532"/>
      <c r="K85" s="17"/>
    </row>
    <row r="86" spans="2:11" ht="18" thickBot="1" x14ac:dyDescent="0.4">
      <c r="B86" s="400"/>
      <c r="C86" s="388"/>
      <c r="D86" s="405"/>
      <c r="E86" s="405"/>
      <c r="F86" s="405"/>
      <c r="G86" s="428"/>
      <c r="K86" s="17"/>
    </row>
    <row r="87" spans="2:11" ht="18" thickBot="1" x14ac:dyDescent="0.4">
      <c r="B87" s="413"/>
      <c r="C87" s="913" t="s">
        <v>55</v>
      </c>
      <c r="D87" s="914"/>
      <c r="E87" s="914"/>
      <c r="F87" s="915"/>
      <c r="G87" s="428"/>
      <c r="K87" s="17"/>
    </row>
    <row r="88" spans="2:11" ht="17.25" x14ac:dyDescent="0.35">
      <c r="B88" s="395"/>
      <c r="C88" s="398"/>
      <c r="D88" s="955" t="s">
        <v>48</v>
      </c>
      <c r="E88" s="955"/>
      <c r="F88" s="956"/>
      <c r="G88" s="428"/>
      <c r="K88" s="17"/>
    </row>
    <row r="89" spans="2:11" ht="17.25" x14ac:dyDescent="0.35">
      <c r="B89" s="400"/>
      <c r="C89" s="395"/>
      <c r="D89" s="409" t="s">
        <v>56</v>
      </c>
      <c r="E89" s="409" t="s">
        <v>57</v>
      </c>
      <c r="F89" s="410" t="s">
        <v>58</v>
      </c>
      <c r="G89" s="428"/>
      <c r="K89" s="17"/>
    </row>
    <row r="90" spans="2:11" x14ac:dyDescent="0.3">
      <c r="B90" s="395"/>
      <c r="C90" s="386" t="s">
        <v>442</v>
      </c>
      <c r="D90" s="403"/>
      <c r="E90" s="403"/>
      <c r="F90" s="390"/>
      <c r="G90" s="428"/>
      <c r="K90" s="17"/>
    </row>
    <row r="91" spans="2:11" x14ac:dyDescent="0.3">
      <c r="B91" s="395"/>
      <c r="C91" s="386" t="s">
        <v>443</v>
      </c>
      <c r="D91" s="403"/>
      <c r="E91" s="403"/>
      <c r="F91" s="390"/>
      <c r="G91" s="428"/>
      <c r="K91" s="17"/>
    </row>
    <row r="92" spans="2:11" x14ac:dyDescent="0.3">
      <c r="B92" s="395"/>
      <c r="C92" s="414" t="s">
        <v>59</v>
      </c>
      <c r="D92" s="403"/>
      <c r="E92" s="403"/>
      <c r="F92" s="390"/>
      <c r="G92" s="428"/>
      <c r="K92" s="17"/>
    </row>
    <row r="93" spans="2:11" x14ac:dyDescent="0.3">
      <c r="B93" s="395"/>
      <c r="C93" s="414" t="s">
        <v>60</v>
      </c>
      <c r="D93" s="403"/>
      <c r="E93" s="403"/>
      <c r="F93" s="390"/>
      <c r="G93" s="428"/>
      <c r="K93" s="17"/>
    </row>
    <row r="94" spans="2:11" x14ac:dyDescent="0.3">
      <c r="B94" s="395"/>
      <c r="C94" s="414" t="s">
        <v>458</v>
      </c>
      <c r="D94" s="403"/>
      <c r="E94" s="388"/>
      <c r="F94" s="399"/>
      <c r="G94" s="428"/>
      <c r="I94" s="128"/>
      <c r="J94" s="137"/>
      <c r="K94" s="17"/>
    </row>
    <row r="95" spans="2:11" s="159" customFormat="1" ht="17.25" thickBot="1" x14ac:dyDescent="0.35">
      <c r="B95" s="520"/>
      <c r="C95" s="521" t="s">
        <v>477</v>
      </c>
      <c r="D95" s="522"/>
      <c r="E95" s="523"/>
      <c r="F95" s="524"/>
      <c r="G95" s="525"/>
      <c r="J95" s="160"/>
      <c r="K95" s="161"/>
    </row>
    <row r="96" spans="2:11" ht="17.25" thickBot="1" x14ac:dyDescent="0.35">
      <c r="B96" s="395"/>
      <c r="C96" s="407"/>
      <c r="D96" s="388"/>
      <c r="E96" s="388"/>
      <c r="F96" s="388"/>
      <c r="G96" s="428"/>
      <c r="K96" s="17"/>
    </row>
    <row r="97" spans="2:11" ht="18" thickBot="1" x14ac:dyDescent="0.4">
      <c r="B97" s="395"/>
      <c r="C97" s="913" t="s">
        <v>61</v>
      </c>
      <c r="D97" s="914"/>
      <c r="E97" s="914"/>
      <c r="F97" s="915"/>
      <c r="G97" s="428"/>
      <c r="K97" s="17"/>
    </row>
    <row r="98" spans="2:11" ht="17.25" x14ac:dyDescent="0.35">
      <c r="B98" s="395"/>
      <c r="C98" s="429"/>
      <c r="D98" s="955" t="s">
        <v>48</v>
      </c>
      <c r="E98" s="955"/>
      <c r="F98" s="956"/>
      <c r="G98" s="428"/>
      <c r="K98" s="17"/>
    </row>
    <row r="99" spans="2:11" ht="17.25" x14ac:dyDescent="0.35">
      <c r="B99" s="400"/>
      <c r="C99" s="408"/>
      <c r="D99" s="409" t="s">
        <v>56</v>
      </c>
      <c r="E99" s="409" t="s">
        <v>57</v>
      </c>
      <c r="F99" s="410" t="s">
        <v>58</v>
      </c>
      <c r="G99" s="428"/>
      <c r="K99" s="17"/>
    </row>
    <row r="100" spans="2:11" x14ac:dyDescent="0.3">
      <c r="B100" s="395"/>
      <c r="C100" s="414" t="s">
        <v>62</v>
      </c>
      <c r="D100" s="403"/>
      <c r="E100" s="403"/>
      <c r="F100" s="390"/>
      <c r="G100" s="428"/>
      <c r="K100" s="17"/>
    </row>
    <row r="101" spans="2:11" x14ac:dyDescent="0.3">
      <c r="B101" s="395"/>
      <c r="C101" s="414" t="s">
        <v>63</v>
      </c>
      <c r="D101" s="403"/>
      <c r="E101" s="403"/>
      <c r="F101" s="390"/>
      <c r="G101" s="428"/>
      <c r="K101" s="17"/>
    </row>
    <row r="102" spans="2:11" x14ac:dyDescent="0.3">
      <c r="B102" s="395"/>
      <c r="C102" s="414" t="s">
        <v>64</v>
      </c>
      <c r="D102" s="403"/>
      <c r="E102" s="403"/>
      <c r="F102" s="390"/>
      <c r="G102" s="428"/>
      <c r="K102" s="17"/>
    </row>
    <row r="103" spans="2:11" x14ac:dyDescent="0.3">
      <c r="B103" s="395"/>
      <c r="C103" s="414" t="s">
        <v>422</v>
      </c>
      <c r="D103" s="403"/>
      <c r="E103" s="403"/>
      <c r="F103" s="390"/>
      <c r="G103" s="428"/>
      <c r="K103" s="17"/>
    </row>
    <row r="104" spans="2:11" ht="17.25" thickBot="1" x14ac:dyDescent="0.35">
      <c r="B104" s="395"/>
      <c r="C104" s="391" t="s">
        <v>437</v>
      </c>
      <c r="D104" s="404"/>
      <c r="E104" s="404"/>
      <c r="F104" s="392"/>
      <c r="G104" s="428"/>
      <c r="K104" s="17"/>
    </row>
    <row r="105" spans="2:11" ht="17.25" thickBot="1" x14ac:dyDescent="0.35">
      <c r="B105" s="395"/>
      <c r="C105" s="388"/>
      <c r="D105" s="388"/>
      <c r="E105" s="388"/>
      <c r="F105" s="388"/>
      <c r="G105" s="428"/>
      <c r="K105" s="17"/>
    </row>
    <row r="106" spans="2:11" ht="18" thickBot="1" x14ac:dyDescent="0.4">
      <c r="B106" s="395"/>
      <c r="C106" s="913" t="s">
        <v>65</v>
      </c>
      <c r="D106" s="914"/>
      <c r="E106" s="914"/>
      <c r="F106" s="915"/>
      <c r="G106" s="428"/>
      <c r="K106" s="17"/>
    </row>
    <row r="107" spans="2:11" ht="17.25" x14ac:dyDescent="0.35">
      <c r="B107" s="395"/>
      <c r="C107" s="398"/>
      <c r="D107" s="955" t="s">
        <v>48</v>
      </c>
      <c r="E107" s="955"/>
      <c r="F107" s="956"/>
      <c r="G107" s="428"/>
      <c r="K107" s="17"/>
    </row>
    <row r="108" spans="2:11" ht="17.25" x14ac:dyDescent="0.35">
      <c r="B108" s="400"/>
      <c r="C108" s="395"/>
      <c r="D108" s="409" t="s">
        <v>56</v>
      </c>
      <c r="E108" s="409" t="s">
        <v>57</v>
      </c>
      <c r="F108" s="410" t="s">
        <v>58</v>
      </c>
      <c r="G108" s="428"/>
      <c r="K108" s="17"/>
    </row>
    <row r="109" spans="2:11" x14ac:dyDescent="0.3">
      <c r="B109" s="395"/>
      <c r="C109" s="414" t="s">
        <v>66</v>
      </c>
      <c r="D109" s="403"/>
      <c r="E109" s="403"/>
      <c r="F109" s="390"/>
      <c r="G109" s="428"/>
      <c r="K109" s="17"/>
    </row>
    <row r="110" spans="2:11" x14ac:dyDescent="0.3">
      <c r="B110" s="395"/>
      <c r="C110" s="414" t="s">
        <v>67</v>
      </c>
      <c r="D110" s="403"/>
      <c r="E110" s="403"/>
      <c r="F110" s="390"/>
      <c r="G110" s="428"/>
      <c r="K110" s="17"/>
    </row>
    <row r="111" spans="2:11" x14ac:dyDescent="0.3">
      <c r="B111" s="395"/>
      <c r="C111" s="414" t="s">
        <v>68</v>
      </c>
      <c r="D111" s="403"/>
      <c r="E111" s="403"/>
      <c r="F111" s="390"/>
      <c r="G111" s="428"/>
      <c r="K111" s="17"/>
    </row>
    <row r="112" spans="2:11" x14ac:dyDescent="0.3">
      <c r="B112" s="395"/>
      <c r="C112" s="414" t="s">
        <v>69</v>
      </c>
      <c r="D112" s="403"/>
      <c r="E112" s="403"/>
      <c r="F112" s="390"/>
      <c r="G112" s="428"/>
      <c r="K112" s="17"/>
    </row>
    <row r="113" spans="2:11" x14ac:dyDescent="0.3">
      <c r="B113" s="395"/>
      <c r="C113" s="414" t="s">
        <v>70</v>
      </c>
      <c r="D113" s="403"/>
      <c r="E113" s="403"/>
      <c r="F113" s="390"/>
      <c r="G113" s="428"/>
      <c r="K113" s="17"/>
    </row>
    <row r="114" spans="2:11" x14ac:dyDescent="0.3">
      <c r="B114" s="395"/>
      <c r="C114" s="414" t="s">
        <v>71</v>
      </c>
      <c r="D114" s="403"/>
      <c r="E114" s="403"/>
      <c r="F114" s="390"/>
      <c r="G114" s="428"/>
      <c r="K114" s="17"/>
    </row>
    <row r="115" spans="2:11" x14ac:dyDescent="0.3">
      <c r="B115" s="395"/>
      <c r="C115" s="414" t="s">
        <v>72</v>
      </c>
      <c r="D115" s="403"/>
      <c r="E115" s="403"/>
      <c r="F115" s="390"/>
      <c r="G115" s="428"/>
      <c r="K115" s="17"/>
    </row>
    <row r="116" spans="2:11" x14ac:dyDescent="0.3">
      <c r="B116" s="395"/>
      <c r="C116" s="414" t="s">
        <v>73</v>
      </c>
      <c r="D116" s="403"/>
      <c r="E116" s="403"/>
      <c r="F116" s="390"/>
      <c r="G116" s="428"/>
      <c r="K116" s="17"/>
    </row>
    <row r="117" spans="2:11" x14ac:dyDescent="0.3">
      <c r="B117" s="395"/>
      <c r="C117" s="414" t="s">
        <v>74</v>
      </c>
      <c r="D117" s="403"/>
      <c r="E117" s="403"/>
      <c r="F117" s="390"/>
      <c r="G117" s="428"/>
      <c r="K117" s="17"/>
    </row>
    <row r="118" spans="2:11" x14ac:dyDescent="0.3">
      <c r="B118" s="395"/>
      <c r="C118" s="414" t="s">
        <v>75</v>
      </c>
      <c r="D118" s="403"/>
      <c r="E118" s="403"/>
      <c r="F118" s="390"/>
      <c r="G118" s="428"/>
      <c r="K118" s="17"/>
    </row>
    <row r="119" spans="2:11" ht="17.25" thickBot="1" x14ac:dyDescent="0.35">
      <c r="B119" s="395"/>
      <c r="C119" s="415" t="s">
        <v>76</v>
      </c>
      <c r="D119" s="404"/>
      <c r="E119" s="404"/>
      <c r="F119" s="392"/>
      <c r="G119" s="428"/>
      <c r="K119" s="17"/>
    </row>
    <row r="120" spans="2:11" ht="17.25" thickBot="1" x14ac:dyDescent="0.35">
      <c r="B120" s="395"/>
      <c r="C120" s="388"/>
      <c r="D120" s="388"/>
      <c r="E120" s="388"/>
      <c r="F120" s="388"/>
      <c r="G120" s="428"/>
      <c r="K120" s="17"/>
    </row>
    <row r="121" spans="2:11" ht="18" thickBot="1" x14ac:dyDescent="0.4">
      <c r="B121" s="395"/>
      <c r="C121" s="913" t="s">
        <v>77</v>
      </c>
      <c r="D121" s="914"/>
      <c r="E121" s="914"/>
      <c r="F121" s="915"/>
      <c r="G121" s="428"/>
      <c r="K121" s="17"/>
    </row>
    <row r="122" spans="2:11" ht="17.25" x14ac:dyDescent="0.35">
      <c r="B122" s="395"/>
      <c r="C122" s="398"/>
      <c r="D122" s="955" t="s">
        <v>48</v>
      </c>
      <c r="E122" s="955"/>
      <c r="F122" s="956"/>
      <c r="G122" s="428"/>
      <c r="K122" s="17"/>
    </row>
    <row r="123" spans="2:11" ht="17.25" x14ac:dyDescent="0.35">
      <c r="B123" s="400"/>
      <c r="C123" s="395"/>
      <c r="D123" s="409" t="s">
        <v>56</v>
      </c>
      <c r="E123" s="409" t="s">
        <v>57</v>
      </c>
      <c r="F123" s="410" t="s">
        <v>58</v>
      </c>
      <c r="G123" s="428"/>
      <c r="K123" s="17"/>
    </row>
    <row r="124" spans="2:11" x14ac:dyDescent="0.3">
      <c r="B124" s="395"/>
      <c r="C124" s="414" t="s">
        <v>78</v>
      </c>
      <c r="D124" s="403"/>
      <c r="E124" s="403"/>
      <c r="F124" s="390"/>
      <c r="G124" s="428"/>
      <c r="K124" s="17"/>
    </row>
    <row r="125" spans="2:11" x14ac:dyDescent="0.3">
      <c r="B125" s="395"/>
      <c r="C125" s="414" t="s">
        <v>79</v>
      </c>
      <c r="D125" s="403"/>
      <c r="E125" s="403"/>
      <c r="F125" s="390"/>
      <c r="G125" s="428"/>
      <c r="K125" s="17"/>
    </row>
    <row r="126" spans="2:11" x14ac:dyDescent="0.3">
      <c r="B126" s="395"/>
      <c r="C126" s="414" t="s">
        <v>80</v>
      </c>
      <c r="D126" s="403"/>
      <c r="E126" s="403"/>
      <c r="F126" s="390"/>
      <c r="G126" s="428"/>
      <c r="K126" s="17"/>
    </row>
    <row r="127" spans="2:11" x14ac:dyDescent="0.3">
      <c r="B127" s="395"/>
      <c r="C127" s="414" t="s">
        <v>81</v>
      </c>
      <c r="D127" s="403"/>
      <c r="E127" s="403"/>
      <c r="F127" s="390"/>
      <c r="G127" s="428"/>
      <c r="K127" s="17"/>
    </row>
    <row r="128" spans="2:11" ht="17.25" thickBot="1" x14ac:dyDescent="0.35">
      <c r="B128" s="395"/>
      <c r="C128" s="412" t="s">
        <v>438</v>
      </c>
      <c r="D128" s="404"/>
      <c r="E128" s="404"/>
      <c r="F128" s="392"/>
      <c r="G128" s="428"/>
      <c r="K128" s="17"/>
    </row>
    <row r="129" spans="2:11" ht="17.25" thickBot="1" x14ac:dyDescent="0.35">
      <c r="B129" s="395"/>
      <c r="C129" s="388"/>
      <c r="D129" s="388"/>
      <c r="E129" s="388"/>
      <c r="F129" s="388"/>
      <c r="G129" s="428"/>
      <c r="K129" s="17"/>
    </row>
    <row r="130" spans="2:11" ht="18" thickBot="1" x14ac:dyDescent="0.4">
      <c r="B130" s="395"/>
      <c r="C130" s="913" t="s">
        <v>82</v>
      </c>
      <c r="D130" s="914"/>
      <c r="E130" s="914"/>
      <c r="F130" s="915"/>
      <c r="G130" s="428"/>
      <c r="K130" s="17"/>
    </row>
    <row r="131" spans="2:11" ht="17.25" x14ac:dyDescent="0.35">
      <c r="B131" s="395"/>
      <c r="C131" s="398"/>
      <c r="D131" s="955" t="s">
        <v>48</v>
      </c>
      <c r="E131" s="955"/>
      <c r="F131" s="956"/>
      <c r="G131" s="428"/>
      <c r="K131" s="17"/>
    </row>
    <row r="132" spans="2:11" ht="17.25" x14ac:dyDescent="0.35">
      <c r="B132" s="413"/>
      <c r="C132" s="395"/>
      <c r="D132" s="409" t="s">
        <v>56</v>
      </c>
      <c r="E132" s="409" t="s">
        <v>57</v>
      </c>
      <c r="F132" s="410" t="s">
        <v>58</v>
      </c>
      <c r="G132" s="428"/>
      <c r="K132" s="17"/>
    </row>
    <row r="133" spans="2:11" x14ac:dyDescent="0.3">
      <c r="B133" s="395"/>
      <c r="C133" s="414" t="s">
        <v>83</v>
      </c>
      <c r="D133" s="403"/>
      <c r="E133" s="403"/>
      <c r="F133" s="390"/>
      <c r="G133" s="428"/>
      <c r="K133" s="17"/>
    </row>
    <row r="134" spans="2:11" x14ac:dyDescent="0.3">
      <c r="B134" s="395"/>
      <c r="C134" s="414" t="s">
        <v>84</v>
      </c>
      <c r="D134" s="403"/>
      <c r="E134" s="403"/>
      <c r="F134" s="390"/>
      <c r="G134" s="428"/>
      <c r="K134" s="17"/>
    </row>
    <row r="135" spans="2:11" x14ac:dyDescent="0.3">
      <c r="B135" s="395"/>
      <c r="C135" s="414" t="s">
        <v>85</v>
      </c>
      <c r="D135" s="403"/>
      <c r="E135" s="403"/>
      <c r="F135" s="390"/>
      <c r="G135" s="428"/>
      <c r="K135" s="17"/>
    </row>
    <row r="136" spans="2:11" x14ac:dyDescent="0.3">
      <c r="B136" s="395"/>
      <c r="C136" s="414" t="s">
        <v>86</v>
      </c>
      <c r="D136" s="403"/>
      <c r="E136" s="403"/>
      <c r="F136" s="390"/>
      <c r="G136" s="428"/>
      <c r="K136" s="17"/>
    </row>
    <row r="137" spans="2:11" x14ac:dyDescent="0.3">
      <c r="B137" s="395"/>
      <c r="C137" s="414" t="s">
        <v>87</v>
      </c>
      <c r="D137" s="403"/>
      <c r="E137" s="403"/>
      <c r="F137" s="390"/>
      <c r="G137" s="428"/>
      <c r="K137" s="17"/>
    </row>
    <row r="138" spans="2:11" x14ac:dyDescent="0.3">
      <c r="B138" s="395"/>
      <c r="C138" s="414" t="s">
        <v>88</v>
      </c>
      <c r="D138" s="403"/>
      <c r="E138" s="403"/>
      <c r="F138" s="390"/>
      <c r="G138" s="428"/>
      <c r="K138" s="17"/>
    </row>
    <row r="139" spans="2:11" x14ac:dyDescent="0.3">
      <c r="B139" s="395"/>
      <c r="C139" s="414" t="s">
        <v>89</v>
      </c>
      <c r="D139" s="403"/>
      <c r="E139" s="403"/>
      <c r="F139" s="390"/>
      <c r="G139" s="428"/>
      <c r="K139" s="17"/>
    </row>
    <row r="140" spans="2:11" ht="17.25" thickBot="1" x14ac:dyDescent="0.35">
      <c r="B140" s="395"/>
      <c r="C140" s="415" t="s">
        <v>90</v>
      </c>
      <c r="D140" s="404"/>
      <c r="E140" s="404"/>
      <c r="F140" s="392"/>
      <c r="G140" s="428"/>
      <c r="K140" s="17"/>
    </row>
    <row r="141" spans="2:11" ht="17.25" thickBot="1" x14ac:dyDescent="0.35">
      <c r="B141" s="395"/>
      <c r="C141" s="388"/>
      <c r="D141" s="458"/>
      <c r="E141" s="458"/>
      <c r="F141" s="458"/>
      <c r="G141" s="428"/>
      <c r="K141" s="17"/>
    </row>
    <row r="142" spans="2:11" ht="18" thickBot="1" x14ac:dyDescent="0.4">
      <c r="B142" s="395"/>
      <c r="C142" s="913" t="s">
        <v>91</v>
      </c>
      <c r="D142" s="914"/>
      <c r="E142" s="914"/>
      <c r="F142" s="915"/>
      <c r="G142" s="428"/>
      <c r="K142" s="17"/>
    </row>
    <row r="143" spans="2:11" ht="17.25" x14ac:dyDescent="0.35">
      <c r="B143" s="400"/>
      <c r="C143" s="398"/>
      <c r="D143" s="955" t="s">
        <v>48</v>
      </c>
      <c r="E143" s="955"/>
      <c r="F143" s="956"/>
      <c r="G143" s="428"/>
      <c r="K143" s="17"/>
    </row>
    <row r="144" spans="2:11" x14ac:dyDescent="0.3">
      <c r="B144" s="395"/>
      <c r="C144" s="526" t="s">
        <v>455</v>
      </c>
      <c r="D144" s="921"/>
      <c r="E144" s="921"/>
      <c r="F144" s="922"/>
      <c r="G144" s="428"/>
      <c r="K144" s="17"/>
    </row>
    <row r="145" spans="1:11" x14ac:dyDescent="0.3">
      <c r="B145" s="395"/>
      <c r="C145" s="414" t="s">
        <v>93</v>
      </c>
      <c r="D145" s="921"/>
      <c r="E145" s="921"/>
      <c r="F145" s="922"/>
      <c r="G145" s="428"/>
      <c r="K145" s="17"/>
    </row>
    <row r="146" spans="1:11" x14ac:dyDescent="0.3">
      <c r="B146" s="395"/>
      <c r="C146" s="411" t="s">
        <v>308</v>
      </c>
      <c r="D146" s="921"/>
      <c r="E146" s="921"/>
      <c r="F146" s="922"/>
      <c r="G146" s="428"/>
      <c r="K146" s="17"/>
    </row>
    <row r="147" spans="1:11" ht="33" x14ac:dyDescent="0.3">
      <c r="B147" s="395"/>
      <c r="C147" s="411" t="s">
        <v>456</v>
      </c>
      <c r="D147" s="932" t="str">
        <f>IF(D144+D146=0,"",D144+D146)</f>
        <v/>
      </c>
      <c r="E147" s="932"/>
      <c r="F147" s="933"/>
      <c r="G147" s="428"/>
      <c r="K147" s="17"/>
    </row>
    <row r="148" spans="1:11" x14ac:dyDescent="0.3">
      <c r="B148" s="395"/>
      <c r="C148" s="411" t="s">
        <v>95</v>
      </c>
      <c r="D148" s="921"/>
      <c r="E148" s="921"/>
      <c r="F148" s="922"/>
      <c r="G148" s="428"/>
      <c r="K148" s="17"/>
    </row>
    <row r="149" spans="1:11" ht="33" x14ac:dyDescent="0.3">
      <c r="B149" s="395"/>
      <c r="C149" s="411" t="s">
        <v>457</v>
      </c>
      <c r="D149" s="921"/>
      <c r="E149" s="921"/>
      <c r="F149" s="922"/>
      <c r="G149" s="428"/>
      <c r="K149" s="17"/>
    </row>
    <row r="150" spans="1:11" x14ac:dyDescent="0.3">
      <c r="B150" s="395"/>
      <c r="C150" s="411" t="s">
        <v>97</v>
      </c>
      <c r="D150" s="921"/>
      <c r="E150" s="921"/>
      <c r="F150" s="922"/>
      <c r="G150" s="428"/>
      <c r="K150" s="17"/>
    </row>
    <row r="151" spans="1:11" x14ac:dyDescent="0.3">
      <c r="B151" s="395"/>
      <c r="C151" s="414" t="s">
        <v>308</v>
      </c>
      <c r="D151" s="921"/>
      <c r="E151" s="921"/>
      <c r="F151" s="922"/>
      <c r="G151" s="428"/>
      <c r="K151" s="17"/>
    </row>
    <row r="152" spans="1:11" ht="33.75" thickBot="1" x14ac:dyDescent="0.35">
      <c r="B152" s="395"/>
      <c r="C152" s="412" t="s">
        <v>456</v>
      </c>
      <c r="D152" s="934" t="str">
        <f>IF(D149+D151=0,"",D149+D151)</f>
        <v/>
      </c>
      <c r="E152" s="934"/>
      <c r="F152" s="935"/>
      <c r="G152" s="428"/>
      <c r="K152" s="17"/>
    </row>
    <row r="153" spans="1:11" ht="17.25" thickBot="1" x14ac:dyDescent="0.35">
      <c r="B153" s="416"/>
      <c r="C153" s="405"/>
      <c r="D153" s="405"/>
      <c r="E153" s="405"/>
      <c r="F153" s="405"/>
      <c r="G153" s="433"/>
      <c r="K153" s="17"/>
    </row>
    <row r="154" spans="1:11" x14ac:dyDescent="0.3">
      <c r="K154" s="17"/>
    </row>
    <row r="155" spans="1:11" s="16" customFormat="1" x14ac:dyDescent="0.3">
      <c r="A155" s="17"/>
      <c r="B155" s="17"/>
      <c r="C155" s="17"/>
      <c r="D155" s="17"/>
      <c r="E155" s="17"/>
      <c r="F155" s="17"/>
      <c r="G155" s="17"/>
      <c r="H155" s="17"/>
      <c r="I155" s="17"/>
      <c r="J155" s="17"/>
      <c r="K155"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E9" sqref="E9"/>
      <pageMargins left="0.7" right="0.7" top="0.75" bottom="0.75" header="0.3" footer="0.3"/>
      <pageSetup orientation="portrait" horizontalDpi="200" verticalDpi="200" r:id="rId2"/>
    </customSheetView>
  </customSheetViews>
  <mergeCells count="47">
    <mergeCell ref="D149:F149"/>
    <mergeCell ref="D150:F150"/>
    <mergeCell ref="D151:F151"/>
    <mergeCell ref="D152:F152"/>
    <mergeCell ref="D147:F147"/>
    <mergeCell ref="D74:F74"/>
    <mergeCell ref="D75:F75"/>
    <mergeCell ref="D77:F77"/>
    <mergeCell ref="D78:F78"/>
    <mergeCell ref="C142:F142"/>
    <mergeCell ref="D131:F131"/>
    <mergeCell ref="D143:F143"/>
    <mergeCell ref="D144:F144"/>
    <mergeCell ref="D145:F145"/>
    <mergeCell ref="D146:F146"/>
    <mergeCell ref="D79:F79"/>
    <mergeCell ref="C106:F106"/>
    <mergeCell ref="C121:F121"/>
    <mergeCell ref="C130:F130"/>
    <mergeCell ref="C97:F97"/>
    <mergeCell ref="E2:F2"/>
    <mergeCell ref="D16:F16"/>
    <mergeCell ref="D26:F26"/>
    <mergeCell ref="D35:F35"/>
    <mergeCell ref="D50:F50"/>
    <mergeCell ref="B11:G11"/>
    <mergeCell ref="C34:F34"/>
    <mergeCell ref="C15:F15"/>
    <mergeCell ref="C25:F25"/>
    <mergeCell ref="C49:F49"/>
    <mergeCell ref="B2:C2"/>
    <mergeCell ref="D73:F73"/>
    <mergeCell ref="H4:I4"/>
    <mergeCell ref="D148:F148"/>
    <mergeCell ref="D76:F76"/>
    <mergeCell ref="D59:F59"/>
    <mergeCell ref="D88:F88"/>
    <mergeCell ref="D98:F98"/>
    <mergeCell ref="D107:F107"/>
    <mergeCell ref="D122:F122"/>
    <mergeCell ref="B83:G83"/>
    <mergeCell ref="D72:F72"/>
    <mergeCell ref="D80:F80"/>
    <mergeCell ref="D71:F71"/>
    <mergeCell ref="C58:F58"/>
    <mergeCell ref="C70:F70"/>
    <mergeCell ref="C87:F87"/>
  </mergeCells>
  <phoneticPr fontId="26" type="noConversion"/>
  <conditionalFormatting sqref="D28:F32 D37:F47 D52:F56 D61:F68 D72:D80 D22:D23 D85 D13 D18:F21">
    <cfRule type="expression" dxfId="41" priority="6" stopIfTrue="1">
      <formula>OR($I$5 = "Central Air Conditioner", $I$6 = "Variable-Speed")</formula>
    </cfRule>
  </conditionalFormatting>
  <conditionalFormatting sqref="D100:F104 D109:F119 D124:F128 D133:F140 D144:D152 E90:F93 D90:D95">
    <cfRule type="expression" dxfId="40" priority="16" stopIfTrue="1">
      <formula>OR($I$5 = "Central Air Conditioner", $I$6 &lt;&gt; "Two-Speed")</formula>
    </cfRule>
  </conditionalFormatting>
  <dataValidations count="1">
    <dataValidation type="list" showInputMessage="1" showErrorMessage="1" sqref="D85 D13" xr:uid="{00000000-0002-0000-1300-000000000000}">
      <formula1>Duration</formula1>
    </dataValidation>
  </dataValidations>
  <hyperlinks>
    <hyperlink ref="E2" location="Instructions!A1" display="Back to Instructions" xr:uid="{00000000-0004-0000-1300-000000000000}"/>
    <hyperlink ref="E2:F2" location="Instructions!A1" display="Back to Instructions tab" xr:uid="{00000000-0004-0000-1300-000001000000}"/>
  </hyperlinks>
  <pageMargins left="0.7" right="0.7" top="0.75" bottom="0.75" header="0.3" footer="0.3"/>
  <pageSetup orientation="portrait" horizontalDpi="200" verticalDpi="20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tabColor rgb="FF0070C0"/>
  </sheetPr>
  <dimension ref="A1:U169"/>
  <sheetViews>
    <sheetView showGridLines="0" zoomScale="70" zoomScaleNormal="70" workbookViewId="0">
      <selection activeCell="E2" sqref="E2:G2"/>
    </sheetView>
  </sheetViews>
  <sheetFormatPr defaultColWidth="9.140625" defaultRowHeight="16.5" x14ac:dyDescent="0.3"/>
  <cols>
    <col min="1" max="1" width="3.5703125" style="282" customWidth="1"/>
    <col min="2" max="2" width="31" style="282" customWidth="1"/>
    <col min="3" max="3" width="76.85546875" style="282" customWidth="1"/>
    <col min="4" max="6" width="19.28515625" style="282" customWidth="1"/>
    <col min="7" max="7" width="4.7109375" style="282" customWidth="1"/>
    <col min="8" max="10" width="19.28515625" style="282" customWidth="1"/>
    <col min="11" max="11" width="4.7109375" style="282" customWidth="1"/>
    <col min="12" max="14" width="19.28515625" style="282" customWidth="1"/>
    <col min="15" max="15" width="4.7109375" style="282" customWidth="1"/>
    <col min="16" max="18" width="19.28515625" style="282" customWidth="1"/>
    <col min="19" max="19" width="9.5703125" style="282" customWidth="1"/>
    <col min="20" max="20" width="3.7109375" style="282" customWidth="1"/>
    <col min="21" max="16384" width="9.140625" style="282"/>
  </cols>
  <sheetData>
    <row r="1" spans="1:21" ht="17.25" thickBot="1" x14ac:dyDescent="0.35">
      <c r="J1" s="283"/>
      <c r="K1" s="284"/>
      <c r="T1" s="285"/>
    </row>
    <row r="2" spans="1:21" s="286" customFormat="1" ht="18" thickBot="1" x14ac:dyDescent="0.35">
      <c r="B2" s="805" t="s">
        <v>622</v>
      </c>
      <c r="C2" s="806"/>
      <c r="E2" s="993" t="s">
        <v>566</v>
      </c>
      <c r="F2" s="993"/>
      <c r="G2" s="993"/>
      <c r="J2" s="287"/>
      <c r="K2" s="287"/>
      <c r="T2" s="288"/>
    </row>
    <row r="3" spans="1:21" s="286" customFormat="1" ht="17.25" thickBot="1" x14ac:dyDescent="0.35">
      <c r="B3" s="365" t="s">
        <v>623</v>
      </c>
      <c r="C3" s="366" t="str">
        <f>'Version Control'!C3</f>
        <v>Commercial Air Conditioner and Heat Pump</v>
      </c>
      <c r="J3" s="287"/>
      <c r="K3" s="287"/>
      <c r="T3" s="288"/>
    </row>
    <row r="4" spans="1:21" s="286" customFormat="1" ht="18" thickBot="1" x14ac:dyDescent="0.35">
      <c r="B4" s="367" t="s">
        <v>142</v>
      </c>
      <c r="C4" s="368" t="str">
        <f>'Version Control'!C4</f>
        <v>v2.2</v>
      </c>
      <c r="H4" s="289" t="s">
        <v>351</v>
      </c>
      <c r="I4" s="290"/>
      <c r="J4" s="287"/>
      <c r="K4" s="287"/>
      <c r="T4" s="288"/>
    </row>
    <row r="5" spans="1:21" s="286" customFormat="1" x14ac:dyDescent="0.3">
      <c r="B5" s="367" t="s">
        <v>475</v>
      </c>
      <c r="C5" s="369">
        <f>'Version Control'!C5</f>
        <v>43353</v>
      </c>
      <c r="H5" s="291" t="s">
        <v>160</v>
      </c>
      <c r="I5" s="334" t="str">
        <f>IF('General Info and Test Results'!C24="","",'General Info and Test Results'!C24)</f>
        <v/>
      </c>
      <c r="J5" s="287"/>
      <c r="K5" s="287"/>
      <c r="T5" s="288"/>
    </row>
    <row r="6" spans="1:21" s="286" customFormat="1" x14ac:dyDescent="0.3">
      <c r="B6" s="370" t="s">
        <v>141</v>
      </c>
      <c r="C6" s="371" t="str">
        <f ca="1">MID(CELL("filename",$A$1), FIND("]", CELL("filename", $A$1))+ 1, 255)</f>
        <v>IEER Tests Recorded Data</v>
      </c>
      <c r="H6" s="292" t="s">
        <v>155</v>
      </c>
      <c r="I6" s="335" t="str">
        <f>IF('General Info and Test Results'!C25="","",'General Info and Test Results'!C25)</f>
        <v/>
      </c>
      <c r="J6" s="287"/>
      <c r="K6" s="287"/>
      <c r="T6" s="288"/>
    </row>
    <row r="7" spans="1:21" s="286" customFormat="1" ht="17.25" thickBot="1" x14ac:dyDescent="0.35">
      <c r="B7" s="361" t="s">
        <v>140</v>
      </c>
      <c r="C7" s="362" t="str">
        <f ca="1">'Version Control'!C7</f>
        <v>Commercial Air Conditioner and Heat Pump - v2.2.xlsx</v>
      </c>
      <c r="H7" s="293" t="s">
        <v>201</v>
      </c>
      <c r="I7" s="336" t="str">
        <f>IF('General Info and Test Results'!C26="","",'General Info and Test Results'!C26)</f>
        <v/>
      </c>
      <c r="J7" s="287"/>
      <c r="K7" s="287"/>
      <c r="T7" s="288"/>
    </row>
    <row r="8" spans="1:21" s="286" customFormat="1" ht="17.25" thickBot="1" x14ac:dyDescent="0.35">
      <c r="B8" s="372" t="s">
        <v>143</v>
      </c>
      <c r="C8" s="373" t="str">
        <f>'Version Control'!C8</f>
        <v>[MM/DD/YYYY]</v>
      </c>
      <c r="G8" s="296"/>
      <c r="H8" s="297"/>
      <c r="J8" s="287"/>
      <c r="K8" s="287"/>
      <c r="T8" s="288"/>
    </row>
    <row r="9" spans="1:21" s="286" customFormat="1" x14ac:dyDescent="0.3">
      <c r="B9" s="294"/>
      <c r="C9" s="295"/>
      <c r="G9" s="296"/>
      <c r="H9" s="297"/>
      <c r="J9" s="287"/>
      <c r="K9" s="287"/>
      <c r="T9" s="288"/>
    </row>
    <row r="10" spans="1:21" s="286" customFormat="1" ht="17.25" thickBot="1" x14ac:dyDescent="0.35">
      <c r="B10" s="294"/>
      <c r="C10" s="295"/>
      <c r="G10" s="296"/>
      <c r="H10" s="297"/>
      <c r="J10" s="287"/>
      <c r="K10" s="287"/>
      <c r="T10" s="288"/>
    </row>
    <row r="11" spans="1:21" s="286" customFormat="1" ht="18.75" thickBot="1" x14ac:dyDescent="0.4">
      <c r="B11" s="294"/>
      <c r="C11" s="994" t="s">
        <v>324</v>
      </c>
      <c r="D11" s="995"/>
      <c r="E11" s="995"/>
      <c r="F11" s="995"/>
      <c r="G11" s="995"/>
      <c r="H11" s="995"/>
      <c r="I11" s="995"/>
      <c r="J11" s="995"/>
      <c r="K11" s="996"/>
      <c r="T11" s="288"/>
    </row>
    <row r="12" spans="1:21" s="286" customFormat="1" ht="129" customHeight="1" thickBot="1" x14ac:dyDescent="0.35">
      <c r="B12" s="294"/>
      <c r="C12" s="997" t="s">
        <v>567</v>
      </c>
      <c r="D12" s="998"/>
      <c r="E12" s="998"/>
      <c r="F12" s="998"/>
      <c r="G12" s="998"/>
      <c r="H12" s="998"/>
      <c r="I12" s="998"/>
      <c r="J12" s="998"/>
      <c r="K12" s="999"/>
      <c r="T12" s="288"/>
    </row>
    <row r="13" spans="1:21" ht="17.25" thickBot="1" x14ac:dyDescent="0.35">
      <c r="E13" s="284"/>
      <c r="J13" s="284"/>
      <c r="K13" s="284"/>
      <c r="T13" s="285"/>
    </row>
    <row r="14" spans="1:21" ht="18.75" thickBot="1" x14ac:dyDescent="0.4">
      <c r="B14" s="533"/>
      <c r="C14" s="534" t="s">
        <v>568</v>
      </c>
      <c r="D14" s="535"/>
      <c r="E14" s="536"/>
      <c r="F14" s="533"/>
      <c r="G14" s="533"/>
      <c r="H14" s="533"/>
      <c r="I14" s="533"/>
      <c r="J14" s="537"/>
      <c r="K14" s="537"/>
      <c r="L14" s="533"/>
      <c r="M14" s="533"/>
      <c r="N14" s="533"/>
      <c r="O14" s="533"/>
      <c r="P14" s="533"/>
      <c r="Q14" s="533"/>
      <c r="R14" s="533"/>
      <c r="S14" s="533"/>
      <c r="T14" s="538"/>
      <c r="U14" s="533"/>
    </row>
    <row r="15" spans="1:21" ht="18" thickBot="1" x14ac:dyDescent="0.4">
      <c r="B15" s="539"/>
      <c r="C15" s="540" t="s">
        <v>569</v>
      </c>
      <c r="D15" s="541"/>
      <c r="E15" s="542"/>
      <c r="F15" s="533"/>
      <c r="G15" s="533"/>
      <c r="H15" s="543"/>
      <c r="I15" s="533"/>
      <c r="J15" s="537"/>
      <c r="K15" s="537"/>
      <c r="L15" s="533"/>
      <c r="M15" s="533"/>
      <c r="N15" s="533"/>
      <c r="O15" s="533"/>
      <c r="P15" s="533"/>
      <c r="Q15" s="533"/>
      <c r="R15" s="533"/>
      <c r="S15" s="533"/>
      <c r="T15" s="538"/>
      <c r="U15" s="533"/>
    </row>
    <row r="16" spans="1:21" ht="17.25" thickBot="1" x14ac:dyDescent="0.35">
      <c r="A16" s="298"/>
      <c r="B16" s="544"/>
      <c r="C16" s="544"/>
      <c r="D16" s="545"/>
      <c r="E16" s="544"/>
      <c r="F16" s="533"/>
      <c r="G16" s="533"/>
      <c r="H16" s="533"/>
      <c r="I16" s="533"/>
      <c r="J16" s="537"/>
      <c r="K16" s="537"/>
      <c r="L16" s="533"/>
      <c r="M16" s="533"/>
      <c r="N16" s="533"/>
      <c r="O16" s="533"/>
      <c r="P16" s="533"/>
      <c r="Q16" s="533"/>
      <c r="R16" s="533"/>
      <c r="S16" s="533"/>
      <c r="T16" s="546"/>
      <c r="U16" s="533"/>
    </row>
    <row r="17" spans="1:21" ht="18.75" thickBot="1" x14ac:dyDescent="0.4">
      <c r="B17" s="547" t="s">
        <v>570</v>
      </c>
      <c r="C17" s="548"/>
      <c r="D17" s="548"/>
      <c r="E17" s="548"/>
      <c r="F17" s="548"/>
      <c r="G17" s="548"/>
      <c r="H17" s="548"/>
      <c r="I17" s="548"/>
      <c r="J17" s="548"/>
      <c r="K17" s="548"/>
      <c r="L17" s="548"/>
      <c r="M17" s="548"/>
      <c r="N17" s="548"/>
      <c r="O17" s="548"/>
      <c r="P17" s="548"/>
      <c r="Q17" s="548"/>
      <c r="R17" s="549"/>
      <c r="S17" s="544"/>
      <c r="T17" s="538"/>
      <c r="U17" s="533"/>
    </row>
    <row r="18" spans="1:21" ht="18" thickBot="1" x14ac:dyDescent="0.4">
      <c r="A18" s="298"/>
      <c r="B18" s="542"/>
      <c r="C18" s="539"/>
      <c r="D18" s="544"/>
      <c r="E18" s="544"/>
      <c r="F18" s="544"/>
      <c r="G18" s="544"/>
      <c r="H18" s="544"/>
      <c r="I18" s="544"/>
      <c r="J18" s="544"/>
      <c r="K18" s="544"/>
      <c r="L18" s="544"/>
      <c r="M18" s="544"/>
      <c r="N18" s="544"/>
      <c r="O18" s="544"/>
      <c r="P18" s="544"/>
      <c r="Q18" s="544"/>
      <c r="R18" s="550"/>
      <c r="S18" s="544"/>
      <c r="T18" s="546"/>
      <c r="U18" s="533"/>
    </row>
    <row r="19" spans="1:21" ht="18.75" thickBot="1" x14ac:dyDescent="0.4">
      <c r="A19" s="298"/>
      <c r="B19" s="542"/>
      <c r="C19" s="551" t="s">
        <v>571</v>
      </c>
      <c r="D19" s="1000" t="s">
        <v>572</v>
      </c>
      <c r="E19" s="1001"/>
      <c r="F19" s="1002"/>
      <c r="G19" s="544"/>
      <c r="H19" s="1000" t="s">
        <v>573</v>
      </c>
      <c r="I19" s="1001"/>
      <c r="J19" s="1002"/>
      <c r="K19" s="544"/>
      <c r="L19" s="1000" t="s">
        <v>574</v>
      </c>
      <c r="M19" s="1001"/>
      <c r="N19" s="1002"/>
      <c r="O19" s="544"/>
      <c r="P19" s="1000" t="s">
        <v>575</v>
      </c>
      <c r="Q19" s="1001"/>
      <c r="R19" s="1002"/>
      <c r="S19" s="544"/>
      <c r="T19" s="546"/>
      <c r="U19" s="533"/>
    </row>
    <row r="20" spans="1:21" ht="17.25" x14ac:dyDescent="0.35">
      <c r="A20" s="298"/>
      <c r="B20" s="542"/>
      <c r="C20" s="552" t="s">
        <v>52</v>
      </c>
      <c r="D20" s="553"/>
      <c r="E20" s="554"/>
      <c r="F20" s="555"/>
      <c r="G20" s="544"/>
      <c r="H20" s="542"/>
      <c r="I20" s="544"/>
      <c r="J20" s="550"/>
      <c r="K20" s="544"/>
      <c r="L20" s="542"/>
      <c r="M20" s="544"/>
      <c r="N20" s="550"/>
      <c r="O20" s="544"/>
      <c r="P20" s="542"/>
      <c r="Q20" s="544"/>
      <c r="R20" s="550"/>
      <c r="S20" s="544"/>
      <c r="T20" s="546"/>
      <c r="U20" s="533"/>
    </row>
    <row r="21" spans="1:21" ht="17.25" thickBot="1" x14ac:dyDescent="0.35">
      <c r="A21" s="298"/>
      <c r="B21" s="542"/>
      <c r="C21" s="556" t="s">
        <v>53</v>
      </c>
      <c r="D21" s="1003"/>
      <c r="E21" s="1004"/>
      <c r="F21" s="1005"/>
      <c r="G21" s="544"/>
      <c r="H21" s="1003"/>
      <c r="I21" s="1004"/>
      <c r="J21" s="1005"/>
      <c r="K21" s="544"/>
      <c r="L21" s="1003"/>
      <c r="M21" s="1004"/>
      <c r="N21" s="1005"/>
      <c r="O21" s="544"/>
      <c r="P21" s="1003"/>
      <c r="Q21" s="1004"/>
      <c r="R21" s="1005"/>
      <c r="S21" s="544"/>
      <c r="T21" s="546"/>
      <c r="U21" s="533"/>
    </row>
    <row r="22" spans="1:21" ht="18" thickBot="1" x14ac:dyDescent="0.4">
      <c r="A22" s="298"/>
      <c r="B22" s="542"/>
      <c r="C22" s="557"/>
      <c r="D22" s="544"/>
      <c r="E22" s="544"/>
      <c r="F22" s="544"/>
      <c r="G22" s="544"/>
      <c r="H22" s="544"/>
      <c r="I22" s="544"/>
      <c r="J22" s="544"/>
      <c r="K22" s="544"/>
      <c r="L22" s="544"/>
      <c r="M22" s="544"/>
      <c r="N22" s="544"/>
      <c r="O22" s="544"/>
      <c r="P22" s="544"/>
      <c r="Q22" s="544"/>
      <c r="R22" s="550"/>
      <c r="S22" s="544"/>
      <c r="T22" s="546"/>
      <c r="U22" s="533"/>
    </row>
    <row r="23" spans="1:21" ht="18" thickBot="1" x14ac:dyDescent="0.4">
      <c r="A23" s="298"/>
      <c r="B23" s="542"/>
      <c r="C23" s="558" t="s">
        <v>55</v>
      </c>
      <c r="D23" s="1000" t="s">
        <v>572</v>
      </c>
      <c r="E23" s="1001"/>
      <c r="F23" s="1002"/>
      <c r="G23" s="544"/>
      <c r="H23" s="1000" t="s">
        <v>573</v>
      </c>
      <c r="I23" s="1001"/>
      <c r="J23" s="1002"/>
      <c r="K23" s="544"/>
      <c r="L23" s="1000" t="s">
        <v>574</v>
      </c>
      <c r="M23" s="1001"/>
      <c r="N23" s="1002"/>
      <c r="O23" s="544"/>
      <c r="P23" s="1000" t="s">
        <v>575</v>
      </c>
      <c r="Q23" s="1001"/>
      <c r="R23" s="1002"/>
      <c r="S23" s="544"/>
      <c r="T23" s="546"/>
      <c r="U23" s="533"/>
    </row>
    <row r="24" spans="1:21" ht="17.25" x14ac:dyDescent="0.35">
      <c r="A24" s="298"/>
      <c r="B24" s="542"/>
      <c r="C24" s="553"/>
      <c r="D24" s="1006" t="s">
        <v>48</v>
      </c>
      <c r="E24" s="1007"/>
      <c r="F24" s="1008"/>
      <c r="G24" s="544"/>
      <c r="H24" s="1006" t="s">
        <v>48</v>
      </c>
      <c r="I24" s="1007"/>
      <c r="J24" s="1008"/>
      <c r="K24" s="544"/>
      <c r="L24" s="1006" t="s">
        <v>48</v>
      </c>
      <c r="M24" s="1007"/>
      <c r="N24" s="1008"/>
      <c r="O24" s="544"/>
      <c r="P24" s="1006" t="s">
        <v>48</v>
      </c>
      <c r="Q24" s="1007"/>
      <c r="R24" s="1008"/>
      <c r="S24" s="544"/>
      <c r="T24" s="546"/>
      <c r="U24" s="533"/>
    </row>
    <row r="25" spans="1:21" ht="17.25" x14ac:dyDescent="0.35">
      <c r="A25" s="298"/>
      <c r="B25" s="552"/>
      <c r="C25" s="542"/>
      <c r="D25" s="559" t="s">
        <v>56</v>
      </c>
      <c r="E25" s="560" t="s">
        <v>57</v>
      </c>
      <c r="F25" s="561" t="s">
        <v>58</v>
      </c>
      <c r="G25" s="544"/>
      <c r="H25" s="559" t="s">
        <v>56</v>
      </c>
      <c r="I25" s="560" t="s">
        <v>57</v>
      </c>
      <c r="J25" s="561" t="s">
        <v>58</v>
      </c>
      <c r="K25" s="544"/>
      <c r="L25" s="559" t="s">
        <v>56</v>
      </c>
      <c r="M25" s="560" t="s">
        <v>57</v>
      </c>
      <c r="N25" s="561" t="s">
        <v>58</v>
      </c>
      <c r="O25" s="544"/>
      <c r="P25" s="559" t="s">
        <v>56</v>
      </c>
      <c r="Q25" s="560" t="s">
        <v>57</v>
      </c>
      <c r="R25" s="561" t="s">
        <v>58</v>
      </c>
      <c r="S25" s="544"/>
      <c r="T25" s="546"/>
      <c r="U25" s="533"/>
    </row>
    <row r="26" spans="1:21" x14ac:dyDescent="0.3">
      <c r="A26" s="298"/>
      <c r="B26" s="542"/>
      <c r="C26" s="562" t="s">
        <v>442</v>
      </c>
      <c r="D26" s="563" t="str">
        <f>IF('A Test Recorded Data'!D24="",IF('A Test Recorded Data'!D94="","",'A Test Recorded Data'!D94),'A Test Recorded Data'!D24)</f>
        <v/>
      </c>
      <c r="E26" s="564" t="str">
        <f>IF('A Test Recorded Data'!E24="",IF('A Test Recorded Data'!E94="","",'A Test Recorded Data'!E94),'A Test Recorded Data'!E24)</f>
        <v/>
      </c>
      <c r="F26" s="565" t="str">
        <f>IF('A Test Recorded Data'!F24="",IF('A Test Recorded Data'!F94="","",'A Test Recorded Data'!F94),'A Test Recorded Data'!F24)</f>
        <v/>
      </c>
      <c r="G26" s="544"/>
      <c r="H26" s="566"/>
      <c r="I26" s="567"/>
      <c r="J26" s="568"/>
      <c r="K26" s="544"/>
      <c r="L26" s="566"/>
      <c r="M26" s="567"/>
      <c r="N26" s="568"/>
      <c r="O26" s="544"/>
      <c r="P26" s="566"/>
      <c r="Q26" s="567"/>
      <c r="R26" s="568"/>
      <c r="S26" s="544"/>
      <c r="T26" s="546"/>
      <c r="U26" s="533"/>
    </row>
    <row r="27" spans="1:21" x14ac:dyDescent="0.3">
      <c r="A27" s="298"/>
      <c r="B27" s="542"/>
      <c r="C27" s="562" t="s">
        <v>443</v>
      </c>
      <c r="D27" s="563" t="str">
        <f>IF('A Test Recorded Data'!D25="",IF('A Test Recorded Data'!D95="","",'A Test Recorded Data'!D95),'A Test Recorded Data'!D25)</f>
        <v/>
      </c>
      <c r="E27" s="564" t="str">
        <f>IF('A Test Recorded Data'!E25="",IF('A Test Recorded Data'!E95="","",'A Test Recorded Data'!E95),'A Test Recorded Data'!E25)</f>
        <v/>
      </c>
      <c r="F27" s="565" t="str">
        <f>IF('A Test Recorded Data'!F25="",IF('A Test Recorded Data'!F95="","",'A Test Recorded Data'!F95),'A Test Recorded Data'!F25)</f>
        <v/>
      </c>
      <c r="G27" s="544"/>
      <c r="H27" s="566"/>
      <c r="I27" s="567"/>
      <c r="J27" s="568"/>
      <c r="K27" s="544"/>
      <c r="L27" s="566"/>
      <c r="M27" s="567"/>
      <c r="N27" s="568"/>
      <c r="O27" s="544"/>
      <c r="P27" s="566"/>
      <c r="Q27" s="567"/>
      <c r="R27" s="568"/>
      <c r="S27" s="544"/>
      <c r="T27" s="546"/>
      <c r="U27" s="533"/>
    </row>
    <row r="28" spans="1:21" x14ac:dyDescent="0.3">
      <c r="A28" s="298"/>
      <c r="B28" s="542"/>
      <c r="C28" s="562" t="s">
        <v>59</v>
      </c>
      <c r="D28" s="563" t="str">
        <f>IF('A Test Recorded Data'!D26="",IF('A Test Recorded Data'!D96="","",'A Test Recorded Data'!D96),'A Test Recorded Data'!D26)</f>
        <v/>
      </c>
      <c r="E28" s="564" t="str">
        <f>IF('A Test Recorded Data'!E26="",IF('A Test Recorded Data'!E96="","",'A Test Recorded Data'!E96),'A Test Recorded Data'!E26)</f>
        <v/>
      </c>
      <c r="F28" s="565" t="str">
        <f>IF('A Test Recorded Data'!F26="",IF('A Test Recorded Data'!F96="","",'A Test Recorded Data'!F96),'A Test Recorded Data'!F26)</f>
        <v/>
      </c>
      <c r="G28" s="544"/>
      <c r="H28" s="566"/>
      <c r="I28" s="567"/>
      <c r="J28" s="568"/>
      <c r="K28" s="544"/>
      <c r="L28" s="566"/>
      <c r="M28" s="567"/>
      <c r="N28" s="568"/>
      <c r="O28" s="544"/>
      <c r="P28" s="566"/>
      <c r="Q28" s="567"/>
      <c r="R28" s="568"/>
      <c r="S28" s="544"/>
      <c r="T28" s="546"/>
      <c r="U28" s="533"/>
    </row>
    <row r="29" spans="1:21" x14ac:dyDescent="0.3">
      <c r="A29" s="298"/>
      <c r="B29" s="542"/>
      <c r="C29" s="562" t="s">
        <v>60</v>
      </c>
      <c r="D29" s="563" t="str">
        <f>IF('A Test Recorded Data'!D27="",IF('A Test Recorded Data'!D97="","",'A Test Recorded Data'!D97),'A Test Recorded Data'!D27)</f>
        <v/>
      </c>
      <c r="E29" s="564" t="str">
        <f>IF('A Test Recorded Data'!E27="",IF('A Test Recorded Data'!E97="","",'A Test Recorded Data'!E97),'A Test Recorded Data'!E27)</f>
        <v/>
      </c>
      <c r="F29" s="565" t="str">
        <f>IF('A Test Recorded Data'!F27="",IF('A Test Recorded Data'!F97="","",'A Test Recorded Data'!F97),'A Test Recorded Data'!F27)</f>
        <v/>
      </c>
      <c r="G29" s="544"/>
      <c r="H29" s="566"/>
      <c r="I29" s="567"/>
      <c r="J29" s="568"/>
      <c r="K29" s="544"/>
      <c r="L29" s="566"/>
      <c r="M29" s="567"/>
      <c r="N29" s="568"/>
      <c r="O29" s="544"/>
      <c r="P29" s="566"/>
      <c r="Q29" s="567"/>
      <c r="R29" s="568"/>
      <c r="S29" s="544"/>
      <c r="T29" s="546"/>
      <c r="U29" s="533"/>
    </row>
    <row r="30" spans="1:21" x14ac:dyDescent="0.3">
      <c r="A30" s="298"/>
      <c r="B30" s="542"/>
      <c r="C30" s="569" t="s">
        <v>576</v>
      </c>
      <c r="D30" s="566"/>
      <c r="E30" s="544"/>
      <c r="F30" s="550"/>
      <c r="G30" s="544"/>
      <c r="H30" s="566"/>
      <c r="I30" s="544"/>
      <c r="J30" s="550"/>
      <c r="K30" s="544"/>
      <c r="L30" s="566"/>
      <c r="M30" s="544"/>
      <c r="N30" s="550"/>
      <c r="O30" s="544"/>
      <c r="P30" s="566"/>
      <c r="Q30" s="544"/>
      <c r="R30" s="550"/>
      <c r="S30" s="544"/>
      <c r="T30" s="546"/>
      <c r="U30" s="533"/>
    </row>
    <row r="31" spans="1:21" x14ac:dyDescent="0.3">
      <c r="A31" s="298"/>
      <c r="B31" s="542"/>
      <c r="C31" s="569" t="s">
        <v>577</v>
      </c>
      <c r="D31" s="566"/>
      <c r="E31" s="544"/>
      <c r="F31" s="550"/>
      <c r="G31" s="544"/>
      <c r="H31" s="566"/>
      <c r="I31" s="544"/>
      <c r="J31" s="550"/>
      <c r="K31" s="544"/>
      <c r="L31" s="566"/>
      <c r="M31" s="544"/>
      <c r="N31" s="550"/>
      <c r="O31" s="544"/>
      <c r="P31" s="566"/>
      <c r="Q31" s="544"/>
      <c r="R31" s="550"/>
      <c r="S31" s="544"/>
      <c r="T31" s="546"/>
      <c r="U31" s="533"/>
    </row>
    <row r="32" spans="1:21" x14ac:dyDescent="0.3">
      <c r="A32" s="298"/>
      <c r="B32" s="542"/>
      <c r="C32" s="569" t="s">
        <v>578</v>
      </c>
      <c r="D32" s="566"/>
      <c r="E32" s="544"/>
      <c r="F32" s="550"/>
      <c r="G32" s="544"/>
      <c r="H32" s="566"/>
      <c r="I32" s="544"/>
      <c r="J32" s="550"/>
      <c r="K32" s="544"/>
      <c r="L32" s="566"/>
      <c r="M32" s="544"/>
      <c r="N32" s="550"/>
      <c r="O32" s="544"/>
      <c r="P32" s="566"/>
      <c r="Q32" s="544"/>
      <c r="R32" s="550"/>
      <c r="S32" s="544"/>
      <c r="T32" s="546"/>
      <c r="U32" s="533"/>
    </row>
    <row r="33" spans="1:21" ht="17.25" thickBot="1" x14ac:dyDescent="0.35">
      <c r="A33" s="298"/>
      <c r="B33" s="542"/>
      <c r="C33" s="570" t="s">
        <v>579</v>
      </c>
      <c r="D33" s="571"/>
      <c r="E33" s="572"/>
      <c r="F33" s="573"/>
      <c r="G33" s="544"/>
      <c r="H33" s="571"/>
      <c r="I33" s="572"/>
      <c r="J33" s="573"/>
      <c r="K33" s="544"/>
      <c r="L33" s="571"/>
      <c r="M33" s="572"/>
      <c r="N33" s="573"/>
      <c r="O33" s="544"/>
      <c r="P33" s="571"/>
      <c r="Q33" s="572"/>
      <c r="R33" s="573"/>
      <c r="S33" s="544"/>
      <c r="T33" s="546"/>
      <c r="U33" s="533"/>
    </row>
    <row r="34" spans="1:21" ht="17.25" thickBot="1" x14ac:dyDescent="0.35">
      <c r="A34" s="298"/>
      <c r="B34" s="542"/>
      <c r="C34" s="574"/>
      <c r="D34" s="544"/>
      <c r="E34" s="544"/>
      <c r="F34" s="544"/>
      <c r="G34" s="544"/>
      <c r="H34" s="544"/>
      <c r="I34" s="544"/>
      <c r="J34" s="544"/>
      <c r="K34" s="544"/>
      <c r="L34" s="544"/>
      <c r="M34" s="544"/>
      <c r="N34" s="544"/>
      <c r="O34" s="544"/>
      <c r="P34" s="544"/>
      <c r="Q34" s="544"/>
      <c r="R34" s="550"/>
      <c r="S34" s="544"/>
      <c r="T34" s="546"/>
      <c r="U34" s="533"/>
    </row>
    <row r="35" spans="1:21" ht="18" thickBot="1" x14ac:dyDescent="0.4">
      <c r="A35" s="298"/>
      <c r="B35" s="542"/>
      <c r="C35" s="558" t="s">
        <v>61</v>
      </c>
      <c r="D35" s="1000" t="s">
        <v>572</v>
      </c>
      <c r="E35" s="1001"/>
      <c r="F35" s="1002"/>
      <c r="G35" s="544"/>
      <c r="H35" s="1000" t="s">
        <v>573</v>
      </c>
      <c r="I35" s="1001"/>
      <c r="J35" s="1002"/>
      <c r="K35" s="544"/>
      <c r="L35" s="1000" t="s">
        <v>574</v>
      </c>
      <c r="M35" s="1001"/>
      <c r="N35" s="1002"/>
      <c r="O35" s="544"/>
      <c r="P35" s="1000" t="s">
        <v>575</v>
      </c>
      <c r="Q35" s="1001"/>
      <c r="R35" s="1002"/>
      <c r="S35" s="544"/>
      <c r="T35" s="546"/>
      <c r="U35" s="533"/>
    </row>
    <row r="36" spans="1:21" ht="17.25" x14ac:dyDescent="0.35">
      <c r="A36" s="298"/>
      <c r="B36" s="542"/>
      <c r="C36" s="553"/>
      <c r="D36" s="1006" t="s">
        <v>48</v>
      </c>
      <c r="E36" s="1007"/>
      <c r="F36" s="1008"/>
      <c r="G36" s="542"/>
      <c r="H36" s="1006" t="s">
        <v>48</v>
      </c>
      <c r="I36" s="1007"/>
      <c r="J36" s="1008"/>
      <c r="K36" s="544"/>
      <c r="L36" s="1006" t="s">
        <v>48</v>
      </c>
      <c r="M36" s="1007"/>
      <c r="N36" s="1008"/>
      <c r="O36" s="542"/>
      <c r="P36" s="1006" t="s">
        <v>48</v>
      </c>
      <c r="Q36" s="1007"/>
      <c r="R36" s="1008"/>
      <c r="S36" s="544"/>
      <c r="T36" s="546"/>
      <c r="U36" s="533"/>
    </row>
    <row r="37" spans="1:21" ht="17.25" x14ac:dyDescent="0.35">
      <c r="A37" s="298"/>
      <c r="B37" s="552"/>
      <c r="C37" s="575"/>
      <c r="D37" s="559" t="s">
        <v>56</v>
      </c>
      <c r="E37" s="560" t="s">
        <v>57</v>
      </c>
      <c r="F37" s="561" t="s">
        <v>58</v>
      </c>
      <c r="G37" s="542"/>
      <c r="H37" s="559" t="s">
        <v>56</v>
      </c>
      <c r="I37" s="560" t="s">
        <v>57</v>
      </c>
      <c r="J37" s="561" t="s">
        <v>58</v>
      </c>
      <c r="K37" s="544"/>
      <c r="L37" s="559" t="s">
        <v>56</v>
      </c>
      <c r="M37" s="560" t="s">
        <v>57</v>
      </c>
      <c r="N37" s="561" t="s">
        <v>58</v>
      </c>
      <c r="O37" s="542"/>
      <c r="P37" s="559" t="s">
        <v>56</v>
      </c>
      <c r="Q37" s="560" t="s">
        <v>57</v>
      </c>
      <c r="R37" s="561" t="s">
        <v>58</v>
      </c>
      <c r="S37" s="544"/>
      <c r="T37" s="546"/>
      <c r="U37" s="533"/>
    </row>
    <row r="38" spans="1:21" x14ac:dyDescent="0.3">
      <c r="A38" s="298"/>
      <c r="B38" s="542"/>
      <c r="C38" s="562" t="s">
        <v>62</v>
      </c>
      <c r="D38" s="563" t="str">
        <f>IF('A Test Recorded Data'!D34="",IF('A Test Recorded Data'!D104="","",'A Test Recorded Data'!D104),'A Test Recorded Data'!D34)</f>
        <v/>
      </c>
      <c r="E38" s="564" t="str">
        <f>IF('A Test Recorded Data'!E34="",IF('A Test Recorded Data'!E104="","",'A Test Recorded Data'!E104),'A Test Recorded Data'!E34)</f>
        <v/>
      </c>
      <c r="F38" s="565" t="str">
        <f>IF('A Test Recorded Data'!F34="",IF('A Test Recorded Data'!F104="","",'A Test Recorded Data'!F104),'A Test Recorded Data'!F34)</f>
        <v/>
      </c>
      <c r="G38" s="542"/>
      <c r="H38" s="566"/>
      <c r="I38" s="567"/>
      <c r="J38" s="568"/>
      <c r="K38" s="544"/>
      <c r="L38" s="566"/>
      <c r="M38" s="567"/>
      <c r="N38" s="568"/>
      <c r="O38" s="542"/>
      <c r="P38" s="566"/>
      <c r="Q38" s="567"/>
      <c r="R38" s="568"/>
      <c r="S38" s="544"/>
      <c r="T38" s="546"/>
      <c r="U38" s="533"/>
    </row>
    <row r="39" spans="1:21" x14ac:dyDescent="0.3">
      <c r="A39" s="298"/>
      <c r="B39" s="542"/>
      <c r="C39" s="562" t="s">
        <v>63</v>
      </c>
      <c r="D39" s="563" t="str">
        <f>IF('A Test Recorded Data'!D35="",IF('A Test Recorded Data'!D105="","",'A Test Recorded Data'!D105),'A Test Recorded Data'!D35)</f>
        <v/>
      </c>
      <c r="E39" s="564" t="str">
        <f>IF('A Test Recorded Data'!E35="",IF('A Test Recorded Data'!E105="","",'A Test Recorded Data'!E105),'A Test Recorded Data'!E35)</f>
        <v/>
      </c>
      <c r="F39" s="565" t="str">
        <f>IF('A Test Recorded Data'!F35="",IF('A Test Recorded Data'!F105="","",'A Test Recorded Data'!F105),'A Test Recorded Data'!F35)</f>
        <v/>
      </c>
      <c r="G39" s="542"/>
      <c r="H39" s="566"/>
      <c r="I39" s="567"/>
      <c r="J39" s="568"/>
      <c r="K39" s="544"/>
      <c r="L39" s="566"/>
      <c r="M39" s="567"/>
      <c r="N39" s="568"/>
      <c r="O39" s="542"/>
      <c r="P39" s="566"/>
      <c r="Q39" s="567"/>
      <c r="R39" s="568"/>
      <c r="S39" s="544"/>
      <c r="T39" s="546"/>
      <c r="U39" s="533"/>
    </row>
    <row r="40" spans="1:21" x14ac:dyDescent="0.3">
      <c r="A40" s="298"/>
      <c r="B40" s="542"/>
      <c r="C40" s="562" t="s">
        <v>64</v>
      </c>
      <c r="D40" s="563" t="str">
        <f>IF('A Test Recorded Data'!D36="",IF('A Test Recorded Data'!D106="","",'A Test Recorded Data'!D106),'A Test Recorded Data'!D36)</f>
        <v/>
      </c>
      <c r="E40" s="564" t="str">
        <f>IF('A Test Recorded Data'!E36="",IF('A Test Recorded Data'!E106="","",'A Test Recorded Data'!E106),'A Test Recorded Data'!E36)</f>
        <v/>
      </c>
      <c r="F40" s="565" t="str">
        <f>IF('A Test Recorded Data'!F36="",IF('A Test Recorded Data'!F106="","",'A Test Recorded Data'!F106),'A Test Recorded Data'!F36)</f>
        <v/>
      </c>
      <c r="G40" s="542"/>
      <c r="H40" s="566"/>
      <c r="I40" s="567"/>
      <c r="J40" s="568"/>
      <c r="K40" s="544"/>
      <c r="L40" s="566"/>
      <c r="M40" s="567"/>
      <c r="N40" s="568"/>
      <c r="O40" s="542"/>
      <c r="P40" s="566"/>
      <c r="Q40" s="567"/>
      <c r="R40" s="568"/>
      <c r="S40" s="544"/>
      <c r="T40" s="546"/>
      <c r="U40" s="533"/>
    </row>
    <row r="41" spans="1:21" x14ac:dyDescent="0.3">
      <c r="A41" s="298"/>
      <c r="B41" s="542"/>
      <c r="C41" s="562" t="s">
        <v>422</v>
      </c>
      <c r="D41" s="563" t="str">
        <f>IF('A Test Recorded Data'!D37="",IF('A Test Recorded Data'!D107="","",'A Test Recorded Data'!D107),'A Test Recorded Data'!D37)</f>
        <v/>
      </c>
      <c r="E41" s="564" t="str">
        <f>IF('A Test Recorded Data'!E37="",IF('A Test Recorded Data'!E107="","",'A Test Recorded Data'!E107),'A Test Recorded Data'!E37)</f>
        <v/>
      </c>
      <c r="F41" s="565" t="str">
        <f>IF('A Test Recorded Data'!F37="",IF('A Test Recorded Data'!F107="","",'A Test Recorded Data'!F107),'A Test Recorded Data'!F37)</f>
        <v/>
      </c>
      <c r="G41" s="542"/>
      <c r="H41" s="566"/>
      <c r="I41" s="567"/>
      <c r="J41" s="568"/>
      <c r="K41" s="544"/>
      <c r="L41" s="566"/>
      <c r="M41" s="567"/>
      <c r="N41" s="568"/>
      <c r="O41" s="542"/>
      <c r="P41" s="566"/>
      <c r="Q41" s="567"/>
      <c r="R41" s="568"/>
      <c r="S41" s="544"/>
      <c r="T41" s="546"/>
      <c r="U41" s="533"/>
    </row>
    <row r="42" spans="1:21" ht="17.25" thickBot="1" x14ac:dyDescent="0.35">
      <c r="A42" s="298"/>
      <c r="B42" s="542"/>
      <c r="C42" s="556" t="s">
        <v>437</v>
      </c>
      <c r="D42" s="576" t="str">
        <f>IF('A Test Recorded Data'!D38="",IF('A Test Recorded Data'!D108="","",'A Test Recorded Data'!D108),'A Test Recorded Data'!D38)</f>
        <v/>
      </c>
      <c r="E42" s="577" t="str">
        <f>IF('A Test Recorded Data'!E38="",IF('A Test Recorded Data'!E108="","",'A Test Recorded Data'!E108),'A Test Recorded Data'!E38)</f>
        <v/>
      </c>
      <c r="F42" s="578" t="str">
        <f>IF('A Test Recorded Data'!F38="",IF('A Test Recorded Data'!F108="","",'A Test Recorded Data'!F108),'A Test Recorded Data'!F38)</f>
        <v/>
      </c>
      <c r="G42" s="542"/>
      <c r="H42" s="571"/>
      <c r="I42" s="579"/>
      <c r="J42" s="580"/>
      <c r="K42" s="544"/>
      <c r="L42" s="571"/>
      <c r="M42" s="579"/>
      <c r="N42" s="580"/>
      <c r="O42" s="542"/>
      <c r="P42" s="571"/>
      <c r="Q42" s="579"/>
      <c r="R42" s="580"/>
      <c r="S42" s="544"/>
      <c r="T42" s="546"/>
      <c r="U42" s="533"/>
    </row>
    <row r="43" spans="1:21" ht="17.25" thickBot="1" x14ac:dyDescent="0.35">
      <c r="A43" s="298"/>
      <c r="B43" s="542"/>
      <c r="C43" s="544"/>
      <c r="D43" s="544"/>
      <c r="E43" s="544"/>
      <c r="F43" s="544"/>
      <c r="G43" s="544"/>
      <c r="H43" s="544"/>
      <c r="I43" s="544"/>
      <c r="J43" s="544"/>
      <c r="K43" s="544"/>
      <c r="L43" s="544"/>
      <c r="M43" s="544"/>
      <c r="N43" s="544"/>
      <c r="O43" s="544"/>
      <c r="P43" s="544"/>
      <c r="Q43" s="544"/>
      <c r="R43" s="550"/>
      <c r="S43" s="544"/>
      <c r="T43" s="546"/>
      <c r="U43" s="533"/>
    </row>
    <row r="44" spans="1:21" ht="18" thickBot="1" x14ac:dyDescent="0.4">
      <c r="A44" s="298"/>
      <c r="B44" s="542"/>
      <c r="C44" s="558" t="s">
        <v>65</v>
      </c>
      <c r="D44" s="1000" t="s">
        <v>572</v>
      </c>
      <c r="E44" s="1001"/>
      <c r="F44" s="1002"/>
      <c r="G44" s="544"/>
      <c r="H44" s="1000" t="s">
        <v>573</v>
      </c>
      <c r="I44" s="1001"/>
      <c r="J44" s="1002"/>
      <c r="K44" s="544"/>
      <c r="L44" s="1000" t="s">
        <v>574</v>
      </c>
      <c r="M44" s="1001"/>
      <c r="N44" s="1002"/>
      <c r="O44" s="544"/>
      <c r="P44" s="1000" t="s">
        <v>575</v>
      </c>
      <c r="Q44" s="1001"/>
      <c r="R44" s="1002"/>
      <c r="S44" s="544"/>
      <c r="T44" s="546"/>
      <c r="U44" s="533"/>
    </row>
    <row r="45" spans="1:21" ht="17.25" x14ac:dyDescent="0.35">
      <c r="A45" s="298"/>
      <c r="B45" s="542"/>
      <c r="C45" s="553"/>
      <c r="D45" s="1009" t="s">
        <v>48</v>
      </c>
      <c r="E45" s="1010"/>
      <c r="F45" s="1011"/>
      <c r="G45" s="542"/>
      <c r="H45" s="1009" t="s">
        <v>48</v>
      </c>
      <c r="I45" s="1010"/>
      <c r="J45" s="1011"/>
      <c r="K45" s="544"/>
      <c r="L45" s="1009" t="s">
        <v>48</v>
      </c>
      <c r="M45" s="1010"/>
      <c r="N45" s="1011"/>
      <c r="O45" s="542"/>
      <c r="P45" s="1009" t="s">
        <v>48</v>
      </c>
      <c r="Q45" s="1010"/>
      <c r="R45" s="1011"/>
      <c r="S45" s="544"/>
      <c r="T45" s="546"/>
      <c r="U45" s="533"/>
    </row>
    <row r="46" spans="1:21" ht="17.25" x14ac:dyDescent="0.35">
      <c r="A46" s="298"/>
      <c r="B46" s="552"/>
      <c r="C46" s="542"/>
      <c r="D46" s="581" t="s">
        <v>56</v>
      </c>
      <c r="E46" s="582" t="s">
        <v>57</v>
      </c>
      <c r="F46" s="561" t="s">
        <v>58</v>
      </c>
      <c r="G46" s="542"/>
      <c r="H46" s="581" t="s">
        <v>56</v>
      </c>
      <c r="I46" s="582" t="s">
        <v>57</v>
      </c>
      <c r="J46" s="561" t="s">
        <v>58</v>
      </c>
      <c r="K46" s="544"/>
      <c r="L46" s="581" t="s">
        <v>56</v>
      </c>
      <c r="M46" s="582" t="s">
        <v>57</v>
      </c>
      <c r="N46" s="561" t="s">
        <v>58</v>
      </c>
      <c r="O46" s="542"/>
      <c r="P46" s="581" t="s">
        <v>56</v>
      </c>
      <c r="Q46" s="582" t="s">
        <v>57</v>
      </c>
      <c r="R46" s="561" t="s">
        <v>58</v>
      </c>
      <c r="S46" s="544"/>
      <c r="T46" s="546"/>
      <c r="U46" s="533"/>
    </row>
    <row r="47" spans="1:21" x14ac:dyDescent="0.3">
      <c r="A47" s="298"/>
      <c r="B47" s="542"/>
      <c r="C47" s="583" t="s">
        <v>66</v>
      </c>
      <c r="D47" s="563" t="str">
        <f>IF('A Test Recorded Data'!D43="",IF('A Test Recorded Data'!D113="","",'A Test Recorded Data'!D113),'A Test Recorded Data'!D43)</f>
        <v/>
      </c>
      <c r="E47" s="564" t="str">
        <f>IF('A Test Recorded Data'!E43="",IF('A Test Recorded Data'!E113="","",'A Test Recorded Data'!E113),'A Test Recorded Data'!E43)</f>
        <v/>
      </c>
      <c r="F47" s="565" t="str">
        <f>IF('A Test Recorded Data'!F43="",IF('A Test Recorded Data'!F113="","",'A Test Recorded Data'!F113),'A Test Recorded Data'!F43)</f>
        <v/>
      </c>
      <c r="G47" s="542"/>
      <c r="H47" s="566"/>
      <c r="I47" s="567"/>
      <c r="J47" s="568"/>
      <c r="K47" s="544"/>
      <c r="L47" s="566"/>
      <c r="M47" s="567"/>
      <c r="N47" s="568"/>
      <c r="O47" s="542"/>
      <c r="P47" s="566"/>
      <c r="Q47" s="567"/>
      <c r="R47" s="568"/>
      <c r="S47" s="544"/>
      <c r="T47" s="546"/>
      <c r="U47" s="533"/>
    </row>
    <row r="48" spans="1:21" x14ac:dyDescent="0.3">
      <c r="A48" s="298"/>
      <c r="B48" s="542"/>
      <c r="C48" s="583" t="s">
        <v>67</v>
      </c>
      <c r="D48" s="563" t="str">
        <f>IF('A Test Recorded Data'!D44="",IF('A Test Recorded Data'!D114="","",'A Test Recorded Data'!D114),'A Test Recorded Data'!D44)</f>
        <v/>
      </c>
      <c r="E48" s="564" t="str">
        <f>IF('A Test Recorded Data'!E44="",IF('A Test Recorded Data'!E114="","",'A Test Recorded Data'!E114),'A Test Recorded Data'!E44)</f>
        <v/>
      </c>
      <c r="F48" s="565" t="str">
        <f>IF('A Test Recorded Data'!F44="",IF('A Test Recorded Data'!F114="","",'A Test Recorded Data'!F114),'A Test Recorded Data'!F44)</f>
        <v/>
      </c>
      <c r="G48" s="542"/>
      <c r="H48" s="566"/>
      <c r="I48" s="567"/>
      <c r="J48" s="568"/>
      <c r="K48" s="544"/>
      <c r="L48" s="566"/>
      <c r="M48" s="567"/>
      <c r="N48" s="568"/>
      <c r="O48" s="542"/>
      <c r="P48" s="566"/>
      <c r="Q48" s="567"/>
      <c r="R48" s="568"/>
      <c r="S48" s="544"/>
      <c r="T48" s="546"/>
      <c r="U48" s="533"/>
    </row>
    <row r="49" spans="1:21" x14ac:dyDescent="0.3">
      <c r="A49" s="298"/>
      <c r="B49" s="542"/>
      <c r="C49" s="583" t="s">
        <v>68</v>
      </c>
      <c r="D49" s="563" t="str">
        <f>IF('A Test Recorded Data'!D45="",IF('A Test Recorded Data'!D115="","",'A Test Recorded Data'!D115),'A Test Recorded Data'!D45)</f>
        <v/>
      </c>
      <c r="E49" s="564" t="str">
        <f>IF('A Test Recorded Data'!E45="",IF('A Test Recorded Data'!E115="","",'A Test Recorded Data'!E115),'A Test Recorded Data'!E45)</f>
        <v/>
      </c>
      <c r="F49" s="565" t="str">
        <f>IF('A Test Recorded Data'!F45="",IF('A Test Recorded Data'!F115="","",'A Test Recorded Data'!F115),'A Test Recorded Data'!F45)</f>
        <v/>
      </c>
      <c r="G49" s="542"/>
      <c r="H49" s="566"/>
      <c r="I49" s="567"/>
      <c r="J49" s="568"/>
      <c r="K49" s="544"/>
      <c r="L49" s="566"/>
      <c r="M49" s="567"/>
      <c r="N49" s="568"/>
      <c r="O49" s="542"/>
      <c r="P49" s="566"/>
      <c r="Q49" s="567"/>
      <c r="R49" s="568"/>
      <c r="S49" s="544"/>
      <c r="T49" s="546"/>
      <c r="U49" s="533"/>
    </row>
    <row r="50" spans="1:21" x14ac:dyDescent="0.3">
      <c r="A50" s="298"/>
      <c r="B50" s="542"/>
      <c r="C50" s="583" t="s">
        <v>69</v>
      </c>
      <c r="D50" s="563" t="str">
        <f>IF('A Test Recorded Data'!D46="",IF('A Test Recorded Data'!D116="","",'A Test Recorded Data'!D116),'A Test Recorded Data'!D46)</f>
        <v/>
      </c>
      <c r="E50" s="564" t="str">
        <f>IF('A Test Recorded Data'!E46="",IF('A Test Recorded Data'!E116="","",'A Test Recorded Data'!E116),'A Test Recorded Data'!E46)</f>
        <v/>
      </c>
      <c r="F50" s="565" t="str">
        <f>IF('A Test Recorded Data'!F46="",IF('A Test Recorded Data'!F116="","",'A Test Recorded Data'!F116),'A Test Recorded Data'!F46)</f>
        <v/>
      </c>
      <c r="G50" s="542"/>
      <c r="H50" s="566"/>
      <c r="I50" s="567"/>
      <c r="J50" s="568"/>
      <c r="K50" s="544"/>
      <c r="L50" s="566"/>
      <c r="M50" s="567"/>
      <c r="N50" s="568"/>
      <c r="O50" s="542"/>
      <c r="P50" s="566"/>
      <c r="Q50" s="567"/>
      <c r="R50" s="568"/>
      <c r="S50" s="544"/>
      <c r="T50" s="546"/>
      <c r="U50" s="533"/>
    </row>
    <row r="51" spans="1:21" x14ac:dyDescent="0.3">
      <c r="A51" s="298"/>
      <c r="B51" s="542"/>
      <c r="C51" s="583" t="s">
        <v>70</v>
      </c>
      <c r="D51" s="563" t="str">
        <f>IF('A Test Recorded Data'!D47="",IF('A Test Recorded Data'!D117="","",'A Test Recorded Data'!D117),'A Test Recorded Data'!D47)</f>
        <v/>
      </c>
      <c r="E51" s="564" t="str">
        <f>IF('A Test Recorded Data'!E47="",IF('A Test Recorded Data'!E117="","",'A Test Recorded Data'!E117),'A Test Recorded Data'!E47)</f>
        <v/>
      </c>
      <c r="F51" s="565" t="str">
        <f>IF('A Test Recorded Data'!F47="",IF('A Test Recorded Data'!F117="","",'A Test Recorded Data'!F117),'A Test Recorded Data'!F47)</f>
        <v/>
      </c>
      <c r="G51" s="542"/>
      <c r="H51" s="566"/>
      <c r="I51" s="567"/>
      <c r="J51" s="568"/>
      <c r="K51" s="544"/>
      <c r="L51" s="566"/>
      <c r="M51" s="567"/>
      <c r="N51" s="568"/>
      <c r="O51" s="542"/>
      <c r="P51" s="566"/>
      <c r="Q51" s="567"/>
      <c r="R51" s="568"/>
      <c r="S51" s="544"/>
      <c r="T51" s="546"/>
      <c r="U51" s="533"/>
    </row>
    <row r="52" spans="1:21" x14ac:dyDescent="0.3">
      <c r="A52" s="298"/>
      <c r="B52" s="542"/>
      <c r="C52" s="583" t="s">
        <v>71</v>
      </c>
      <c r="D52" s="563" t="str">
        <f>IF('A Test Recorded Data'!D48="",IF('A Test Recorded Data'!D118="","",'A Test Recorded Data'!D118),'A Test Recorded Data'!D48)</f>
        <v/>
      </c>
      <c r="E52" s="564" t="str">
        <f>IF('A Test Recorded Data'!E48="",IF('A Test Recorded Data'!E118="","",'A Test Recorded Data'!E118),'A Test Recorded Data'!E48)</f>
        <v/>
      </c>
      <c r="F52" s="565" t="str">
        <f>IF('A Test Recorded Data'!F48="",IF('A Test Recorded Data'!F118="","",'A Test Recorded Data'!F118),'A Test Recorded Data'!F48)</f>
        <v/>
      </c>
      <c r="G52" s="542"/>
      <c r="H52" s="566"/>
      <c r="I52" s="567"/>
      <c r="J52" s="568"/>
      <c r="K52" s="544"/>
      <c r="L52" s="566"/>
      <c r="M52" s="567"/>
      <c r="N52" s="568"/>
      <c r="O52" s="542"/>
      <c r="P52" s="566"/>
      <c r="Q52" s="567"/>
      <c r="R52" s="568"/>
      <c r="S52" s="544"/>
      <c r="T52" s="546"/>
      <c r="U52" s="533"/>
    </row>
    <row r="53" spans="1:21" x14ac:dyDescent="0.3">
      <c r="A53" s="298"/>
      <c r="B53" s="542"/>
      <c r="C53" s="583" t="s">
        <v>72</v>
      </c>
      <c r="D53" s="563" t="str">
        <f>IF('A Test Recorded Data'!D49="",IF('A Test Recorded Data'!D119="","",'A Test Recorded Data'!D119),'A Test Recorded Data'!D49)</f>
        <v/>
      </c>
      <c r="E53" s="564" t="str">
        <f>IF('A Test Recorded Data'!E49="",IF('A Test Recorded Data'!E119="","",'A Test Recorded Data'!E119),'A Test Recorded Data'!E49)</f>
        <v/>
      </c>
      <c r="F53" s="565" t="str">
        <f>IF('A Test Recorded Data'!F49="",IF('A Test Recorded Data'!F119="","",'A Test Recorded Data'!F119),'A Test Recorded Data'!F49)</f>
        <v/>
      </c>
      <c r="G53" s="542"/>
      <c r="H53" s="566"/>
      <c r="I53" s="567"/>
      <c r="J53" s="568"/>
      <c r="K53" s="544"/>
      <c r="L53" s="566"/>
      <c r="M53" s="567"/>
      <c r="N53" s="568"/>
      <c r="O53" s="542"/>
      <c r="P53" s="566"/>
      <c r="Q53" s="567"/>
      <c r="R53" s="568"/>
      <c r="S53" s="544"/>
      <c r="T53" s="546"/>
      <c r="U53" s="533"/>
    </row>
    <row r="54" spans="1:21" x14ac:dyDescent="0.3">
      <c r="A54" s="298"/>
      <c r="B54" s="542"/>
      <c r="C54" s="583" t="s">
        <v>73</v>
      </c>
      <c r="D54" s="563" t="str">
        <f>IF('A Test Recorded Data'!D50="",IF('A Test Recorded Data'!D120="","",'A Test Recorded Data'!D120),'A Test Recorded Data'!D50)</f>
        <v/>
      </c>
      <c r="E54" s="564" t="str">
        <f>IF('A Test Recorded Data'!E50="",IF('A Test Recorded Data'!E120="","",'A Test Recorded Data'!E120),'A Test Recorded Data'!E50)</f>
        <v/>
      </c>
      <c r="F54" s="565" t="str">
        <f>IF('A Test Recorded Data'!F50="",IF('A Test Recorded Data'!F120="","",'A Test Recorded Data'!F120),'A Test Recorded Data'!F50)</f>
        <v/>
      </c>
      <c r="G54" s="542"/>
      <c r="H54" s="566"/>
      <c r="I54" s="567"/>
      <c r="J54" s="568"/>
      <c r="K54" s="544"/>
      <c r="L54" s="566"/>
      <c r="M54" s="567"/>
      <c r="N54" s="568"/>
      <c r="O54" s="542"/>
      <c r="P54" s="566"/>
      <c r="Q54" s="567"/>
      <c r="R54" s="568"/>
      <c r="S54" s="544"/>
      <c r="T54" s="546"/>
      <c r="U54" s="533"/>
    </row>
    <row r="55" spans="1:21" x14ac:dyDescent="0.3">
      <c r="A55" s="298"/>
      <c r="B55" s="542"/>
      <c r="C55" s="583" t="s">
        <v>74</v>
      </c>
      <c r="D55" s="563" t="str">
        <f>IF('A Test Recorded Data'!D51="",IF('A Test Recorded Data'!D121="","",'A Test Recorded Data'!D121),'A Test Recorded Data'!D51)</f>
        <v/>
      </c>
      <c r="E55" s="564" t="str">
        <f>IF('A Test Recorded Data'!E51="",IF('A Test Recorded Data'!E121="","",'A Test Recorded Data'!E121),'A Test Recorded Data'!E51)</f>
        <v/>
      </c>
      <c r="F55" s="565" t="str">
        <f>IF('A Test Recorded Data'!F51="",IF('A Test Recorded Data'!F121="","",'A Test Recorded Data'!F121),'A Test Recorded Data'!F51)</f>
        <v/>
      </c>
      <c r="G55" s="542"/>
      <c r="H55" s="566"/>
      <c r="I55" s="567"/>
      <c r="J55" s="568"/>
      <c r="K55" s="544"/>
      <c r="L55" s="566"/>
      <c r="M55" s="567"/>
      <c r="N55" s="568"/>
      <c r="O55" s="542"/>
      <c r="P55" s="566"/>
      <c r="Q55" s="567"/>
      <c r="R55" s="568"/>
      <c r="S55" s="544"/>
      <c r="T55" s="546"/>
      <c r="U55" s="533"/>
    </row>
    <row r="56" spans="1:21" x14ac:dyDescent="0.3">
      <c r="A56" s="298"/>
      <c r="B56" s="542"/>
      <c r="C56" s="583" t="s">
        <v>75</v>
      </c>
      <c r="D56" s="563" t="str">
        <f>IF('A Test Recorded Data'!D52="",IF('A Test Recorded Data'!D122="","",'A Test Recorded Data'!D122),'A Test Recorded Data'!D52)</f>
        <v/>
      </c>
      <c r="E56" s="564" t="str">
        <f>IF('A Test Recorded Data'!E52="",IF('A Test Recorded Data'!E122="","",'A Test Recorded Data'!E122),'A Test Recorded Data'!E52)</f>
        <v/>
      </c>
      <c r="F56" s="565" t="str">
        <f>IF('A Test Recorded Data'!F52="",IF('A Test Recorded Data'!F122="","",'A Test Recorded Data'!F122),'A Test Recorded Data'!F52)</f>
        <v/>
      </c>
      <c r="G56" s="542"/>
      <c r="H56" s="566"/>
      <c r="I56" s="567"/>
      <c r="J56" s="568"/>
      <c r="K56" s="544"/>
      <c r="L56" s="566"/>
      <c r="M56" s="567"/>
      <c r="N56" s="568"/>
      <c r="O56" s="542"/>
      <c r="P56" s="566"/>
      <c r="Q56" s="567"/>
      <c r="R56" s="568"/>
      <c r="S56" s="544"/>
      <c r="T56" s="546"/>
      <c r="U56" s="533"/>
    </row>
    <row r="57" spans="1:21" ht="17.25" thickBot="1" x14ac:dyDescent="0.35">
      <c r="A57" s="298"/>
      <c r="B57" s="542"/>
      <c r="C57" s="584" t="s">
        <v>76</v>
      </c>
      <c r="D57" s="576" t="str">
        <f>IF('A Test Recorded Data'!D53="",IF('A Test Recorded Data'!D123="","",'A Test Recorded Data'!D123),'A Test Recorded Data'!D53)</f>
        <v/>
      </c>
      <c r="E57" s="577" t="str">
        <f>IF('A Test Recorded Data'!E53="",IF('A Test Recorded Data'!E123="","",'A Test Recorded Data'!E123),'A Test Recorded Data'!E53)</f>
        <v/>
      </c>
      <c r="F57" s="578" t="str">
        <f>IF('A Test Recorded Data'!F53="",IF('A Test Recorded Data'!F123="","",'A Test Recorded Data'!F123),'A Test Recorded Data'!F53)</f>
        <v/>
      </c>
      <c r="G57" s="542"/>
      <c r="H57" s="571"/>
      <c r="I57" s="579"/>
      <c r="J57" s="580"/>
      <c r="K57" s="544"/>
      <c r="L57" s="571"/>
      <c r="M57" s="579"/>
      <c r="N57" s="580"/>
      <c r="O57" s="542"/>
      <c r="P57" s="571"/>
      <c r="Q57" s="579"/>
      <c r="R57" s="580"/>
      <c r="S57" s="544"/>
      <c r="T57" s="546"/>
      <c r="U57" s="533"/>
    </row>
    <row r="58" spans="1:21" ht="17.25" thickBot="1" x14ac:dyDescent="0.35">
      <c r="A58" s="298"/>
      <c r="B58" s="542"/>
      <c r="C58" s="544"/>
      <c r="D58" s="544"/>
      <c r="E58" s="544"/>
      <c r="F58" s="544"/>
      <c r="G58" s="544"/>
      <c r="H58" s="544"/>
      <c r="I58" s="544"/>
      <c r="J58" s="544"/>
      <c r="K58" s="544"/>
      <c r="L58" s="544"/>
      <c r="M58" s="544"/>
      <c r="N58" s="544"/>
      <c r="O58" s="544"/>
      <c r="P58" s="544"/>
      <c r="Q58" s="544"/>
      <c r="R58" s="550"/>
      <c r="S58" s="544"/>
      <c r="T58" s="546"/>
      <c r="U58" s="533"/>
    </row>
    <row r="59" spans="1:21" ht="18" thickBot="1" x14ac:dyDescent="0.4">
      <c r="A59" s="298"/>
      <c r="B59" s="542"/>
      <c r="C59" s="558" t="s">
        <v>77</v>
      </c>
      <c r="D59" s="1000" t="s">
        <v>572</v>
      </c>
      <c r="E59" s="1001"/>
      <c r="F59" s="1002"/>
      <c r="G59" s="544"/>
      <c r="H59" s="1000" t="s">
        <v>573</v>
      </c>
      <c r="I59" s="1001"/>
      <c r="J59" s="1002"/>
      <c r="K59" s="544"/>
      <c r="L59" s="1000" t="s">
        <v>574</v>
      </c>
      <c r="M59" s="1001"/>
      <c r="N59" s="1002"/>
      <c r="O59" s="544"/>
      <c r="P59" s="1000" t="s">
        <v>575</v>
      </c>
      <c r="Q59" s="1001"/>
      <c r="R59" s="1002"/>
      <c r="S59" s="544"/>
      <c r="T59" s="546"/>
      <c r="U59" s="533"/>
    </row>
    <row r="60" spans="1:21" ht="17.25" x14ac:dyDescent="0.35">
      <c r="A60" s="298"/>
      <c r="B60" s="542"/>
      <c r="C60" s="553"/>
      <c r="D60" s="1006" t="s">
        <v>48</v>
      </c>
      <c r="E60" s="1007"/>
      <c r="F60" s="1008"/>
      <c r="G60" s="542"/>
      <c r="H60" s="1006" t="s">
        <v>48</v>
      </c>
      <c r="I60" s="1007"/>
      <c r="J60" s="1008"/>
      <c r="K60" s="544"/>
      <c r="L60" s="1006" t="s">
        <v>48</v>
      </c>
      <c r="M60" s="1007"/>
      <c r="N60" s="1008"/>
      <c r="O60" s="542"/>
      <c r="P60" s="1006" t="s">
        <v>48</v>
      </c>
      <c r="Q60" s="1007"/>
      <c r="R60" s="1008"/>
      <c r="S60" s="544"/>
      <c r="T60" s="546"/>
      <c r="U60" s="533"/>
    </row>
    <row r="61" spans="1:21" ht="17.25" x14ac:dyDescent="0.35">
      <c r="A61" s="298"/>
      <c r="B61" s="552"/>
      <c r="C61" s="542"/>
      <c r="D61" s="581" t="s">
        <v>56</v>
      </c>
      <c r="E61" s="582" t="s">
        <v>57</v>
      </c>
      <c r="F61" s="561" t="s">
        <v>58</v>
      </c>
      <c r="G61" s="542"/>
      <c r="H61" s="581" t="s">
        <v>56</v>
      </c>
      <c r="I61" s="582" t="s">
        <v>57</v>
      </c>
      <c r="J61" s="561" t="s">
        <v>58</v>
      </c>
      <c r="K61" s="544"/>
      <c r="L61" s="581" t="s">
        <v>56</v>
      </c>
      <c r="M61" s="582" t="s">
        <v>57</v>
      </c>
      <c r="N61" s="561" t="s">
        <v>58</v>
      </c>
      <c r="O61" s="542"/>
      <c r="P61" s="581" t="s">
        <v>56</v>
      </c>
      <c r="Q61" s="582" t="s">
        <v>57</v>
      </c>
      <c r="R61" s="561" t="s">
        <v>58</v>
      </c>
      <c r="S61" s="544"/>
      <c r="T61" s="546"/>
      <c r="U61" s="533"/>
    </row>
    <row r="62" spans="1:21" x14ac:dyDescent="0.3">
      <c r="A62" s="298"/>
      <c r="B62" s="542"/>
      <c r="C62" s="583" t="s">
        <v>306</v>
      </c>
      <c r="D62" s="563" t="str">
        <f>IF('A Test Recorded Data'!D58="",IF('A Test Recorded Data'!D128="","",'A Test Recorded Data'!D128),'A Test Recorded Data'!D58)</f>
        <v/>
      </c>
      <c r="E62" s="564" t="str">
        <f>IF('A Test Recorded Data'!E58="",IF('A Test Recorded Data'!E128="","",'A Test Recorded Data'!E128),'A Test Recorded Data'!E58)</f>
        <v/>
      </c>
      <c r="F62" s="565" t="str">
        <f>IF('A Test Recorded Data'!F58="",IF('A Test Recorded Data'!F128="","",'A Test Recorded Data'!F128),'A Test Recorded Data'!F58)</f>
        <v/>
      </c>
      <c r="G62" s="542"/>
      <c r="H62" s="566"/>
      <c r="I62" s="567"/>
      <c r="J62" s="568"/>
      <c r="K62" s="544"/>
      <c r="L62" s="566"/>
      <c r="M62" s="567"/>
      <c r="N62" s="568"/>
      <c r="O62" s="542"/>
      <c r="P62" s="566"/>
      <c r="Q62" s="567"/>
      <c r="R62" s="568"/>
      <c r="S62" s="544"/>
      <c r="T62" s="546"/>
      <c r="U62" s="533"/>
    </row>
    <row r="63" spans="1:21" x14ac:dyDescent="0.3">
      <c r="A63" s="298"/>
      <c r="B63" s="542"/>
      <c r="C63" s="583" t="s">
        <v>307</v>
      </c>
      <c r="D63" s="563" t="str">
        <f>IF('A Test Recorded Data'!D59="",IF('A Test Recorded Data'!D129="","",'A Test Recorded Data'!D129),'A Test Recorded Data'!D59)</f>
        <v/>
      </c>
      <c r="E63" s="564" t="str">
        <f>IF('A Test Recorded Data'!E59="",IF('A Test Recorded Data'!E129="","",'A Test Recorded Data'!E129),'A Test Recorded Data'!E59)</f>
        <v/>
      </c>
      <c r="F63" s="565" t="str">
        <f>IF('A Test Recorded Data'!F59="",IF('A Test Recorded Data'!F129="","",'A Test Recorded Data'!F129),'A Test Recorded Data'!F59)</f>
        <v/>
      </c>
      <c r="G63" s="542"/>
      <c r="H63" s="566"/>
      <c r="I63" s="567"/>
      <c r="J63" s="568"/>
      <c r="K63" s="544"/>
      <c r="L63" s="566"/>
      <c r="M63" s="567"/>
      <c r="N63" s="568"/>
      <c r="O63" s="542"/>
      <c r="P63" s="566"/>
      <c r="Q63" s="567"/>
      <c r="R63" s="568"/>
      <c r="S63" s="544"/>
      <c r="T63" s="546"/>
      <c r="U63" s="533"/>
    </row>
    <row r="64" spans="1:21" x14ac:dyDescent="0.3">
      <c r="A64" s="298"/>
      <c r="B64" s="542"/>
      <c r="C64" s="583" t="s">
        <v>80</v>
      </c>
      <c r="D64" s="563" t="str">
        <f>IF('A Test Recorded Data'!D60="",IF('A Test Recorded Data'!D130="","",'A Test Recorded Data'!D130),'A Test Recorded Data'!D60)</f>
        <v/>
      </c>
      <c r="E64" s="564" t="str">
        <f>IF('A Test Recorded Data'!E60="",IF('A Test Recorded Data'!E130="","",'A Test Recorded Data'!E130),'A Test Recorded Data'!E60)</f>
        <v/>
      </c>
      <c r="F64" s="565" t="str">
        <f>IF('A Test Recorded Data'!F60="",IF('A Test Recorded Data'!F130="","",'A Test Recorded Data'!F130),'A Test Recorded Data'!F60)</f>
        <v/>
      </c>
      <c r="G64" s="542"/>
      <c r="H64" s="566"/>
      <c r="I64" s="567"/>
      <c r="J64" s="568"/>
      <c r="K64" s="544"/>
      <c r="L64" s="566"/>
      <c r="M64" s="567"/>
      <c r="N64" s="568"/>
      <c r="O64" s="542"/>
      <c r="P64" s="566"/>
      <c r="Q64" s="567"/>
      <c r="R64" s="568"/>
      <c r="S64" s="544"/>
      <c r="T64" s="546"/>
      <c r="U64" s="533"/>
    </row>
    <row r="65" spans="1:21" x14ac:dyDescent="0.3">
      <c r="A65" s="298"/>
      <c r="B65" s="542"/>
      <c r="C65" s="583" t="s">
        <v>81</v>
      </c>
      <c r="D65" s="563" t="str">
        <f>IF('A Test Recorded Data'!D61="",IF('A Test Recorded Data'!D131="","",'A Test Recorded Data'!D131),'A Test Recorded Data'!D61)</f>
        <v/>
      </c>
      <c r="E65" s="564" t="str">
        <f>IF('A Test Recorded Data'!E61="",IF('A Test Recorded Data'!E131="","",'A Test Recorded Data'!E131),'A Test Recorded Data'!E61)</f>
        <v/>
      </c>
      <c r="F65" s="565" t="str">
        <f>IF('A Test Recorded Data'!F61="",IF('A Test Recorded Data'!F131="","",'A Test Recorded Data'!F131),'A Test Recorded Data'!F61)</f>
        <v/>
      </c>
      <c r="G65" s="542"/>
      <c r="H65" s="566"/>
      <c r="I65" s="567"/>
      <c r="J65" s="568"/>
      <c r="K65" s="544"/>
      <c r="L65" s="566"/>
      <c r="M65" s="567"/>
      <c r="N65" s="568"/>
      <c r="O65" s="542"/>
      <c r="P65" s="566"/>
      <c r="Q65" s="567"/>
      <c r="R65" s="568"/>
      <c r="S65" s="544"/>
      <c r="T65" s="546"/>
      <c r="U65" s="533"/>
    </row>
    <row r="66" spans="1:21" ht="17.25" thickBot="1" x14ac:dyDescent="0.35">
      <c r="A66" s="298"/>
      <c r="B66" s="542"/>
      <c r="C66" s="584" t="s">
        <v>438</v>
      </c>
      <c r="D66" s="576" t="str">
        <f>IF('A Test Recorded Data'!D62="",IF('A Test Recorded Data'!D132="","",'A Test Recorded Data'!D132),'A Test Recorded Data'!D62)</f>
        <v/>
      </c>
      <c r="E66" s="577" t="str">
        <f>IF('A Test Recorded Data'!E62="",IF('A Test Recorded Data'!E132="","",'A Test Recorded Data'!E132),'A Test Recorded Data'!E62)</f>
        <v/>
      </c>
      <c r="F66" s="578" t="str">
        <f>IF('A Test Recorded Data'!F62="",IF('A Test Recorded Data'!F132="","",'A Test Recorded Data'!F132),'A Test Recorded Data'!F62)</f>
        <v/>
      </c>
      <c r="G66" s="542"/>
      <c r="H66" s="571"/>
      <c r="I66" s="579"/>
      <c r="J66" s="580"/>
      <c r="K66" s="544"/>
      <c r="L66" s="571"/>
      <c r="M66" s="579"/>
      <c r="N66" s="580"/>
      <c r="O66" s="542"/>
      <c r="P66" s="571"/>
      <c r="Q66" s="579"/>
      <c r="R66" s="580"/>
      <c r="S66" s="544"/>
      <c r="T66" s="546"/>
      <c r="U66" s="533"/>
    </row>
    <row r="67" spans="1:21" ht="17.25" thickBot="1" x14ac:dyDescent="0.35">
      <c r="A67" s="298"/>
      <c r="B67" s="542"/>
      <c r="C67" s="544"/>
      <c r="D67" s="544"/>
      <c r="E67" s="544"/>
      <c r="F67" s="544"/>
      <c r="G67" s="544"/>
      <c r="H67" s="544"/>
      <c r="I67" s="544"/>
      <c r="J67" s="544"/>
      <c r="K67" s="544"/>
      <c r="L67" s="544"/>
      <c r="M67" s="544"/>
      <c r="N67" s="544"/>
      <c r="O67" s="544"/>
      <c r="P67" s="544"/>
      <c r="Q67" s="544"/>
      <c r="R67" s="550"/>
      <c r="S67" s="544"/>
      <c r="T67" s="546"/>
      <c r="U67" s="533"/>
    </row>
    <row r="68" spans="1:21" ht="18" thickBot="1" x14ac:dyDescent="0.4">
      <c r="A68" s="298"/>
      <c r="B68" s="542"/>
      <c r="C68" s="558" t="s">
        <v>82</v>
      </c>
      <c r="D68" s="1000" t="s">
        <v>572</v>
      </c>
      <c r="E68" s="1001"/>
      <c r="F68" s="1002"/>
      <c r="G68" s="544"/>
      <c r="H68" s="1000" t="s">
        <v>573</v>
      </c>
      <c r="I68" s="1001"/>
      <c r="J68" s="1002"/>
      <c r="K68" s="544"/>
      <c r="L68" s="1000" t="s">
        <v>574</v>
      </c>
      <c r="M68" s="1001"/>
      <c r="N68" s="1002"/>
      <c r="O68" s="544"/>
      <c r="P68" s="1000" t="s">
        <v>575</v>
      </c>
      <c r="Q68" s="1001"/>
      <c r="R68" s="1002"/>
      <c r="S68" s="544"/>
      <c r="T68" s="546"/>
      <c r="U68" s="533"/>
    </row>
    <row r="69" spans="1:21" ht="17.25" x14ac:dyDescent="0.35">
      <c r="A69" s="298"/>
      <c r="B69" s="542"/>
      <c r="C69" s="553"/>
      <c r="D69" s="1006" t="s">
        <v>48</v>
      </c>
      <c r="E69" s="1007"/>
      <c r="F69" s="1008"/>
      <c r="G69" s="542"/>
      <c r="H69" s="1006" t="s">
        <v>48</v>
      </c>
      <c r="I69" s="1007"/>
      <c r="J69" s="1008"/>
      <c r="K69" s="544"/>
      <c r="L69" s="1006" t="s">
        <v>48</v>
      </c>
      <c r="M69" s="1007"/>
      <c r="N69" s="1008"/>
      <c r="O69" s="542"/>
      <c r="P69" s="1006" t="s">
        <v>48</v>
      </c>
      <c r="Q69" s="1007"/>
      <c r="R69" s="1008"/>
      <c r="S69" s="544"/>
      <c r="T69" s="546"/>
      <c r="U69" s="533"/>
    </row>
    <row r="70" spans="1:21" ht="17.25" x14ac:dyDescent="0.35">
      <c r="A70" s="298"/>
      <c r="B70" s="585"/>
      <c r="C70" s="542"/>
      <c r="D70" s="581" t="s">
        <v>56</v>
      </c>
      <c r="E70" s="582" t="s">
        <v>57</v>
      </c>
      <c r="F70" s="561" t="s">
        <v>58</v>
      </c>
      <c r="G70" s="542"/>
      <c r="H70" s="581" t="s">
        <v>56</v>
      </c>
      <c r="I70" s="582" t="s">
        <v>57</v>
      </c>
      <c r="J70" s="561" t="s">
        <v>58</v>
      </c>
      <c r="K70" s="544"/>
      <c r="L70" s="581" t="s">
        <v>56</v>
      </c>
      <c r="M70" s="582" t="s">
        <v>57</v>
      </c>
      <c r="N70" s="561" t="s">
        <v>58</v>
      </c>
      <c r="O70" s="542"/>
      <c r="P70" s="581" t="s">
        <v>56</v>
      </c>
      <c r="Q70" s="582" t="s">
        <v>57</v>
      </c>
      <c r="R70" s="561" t="s">
        <v>58</v>
      </c>
      <c r="S70" s="544"/>
      <c r="T70" s="546"/>
      <c r="U70" s="533"/>
    </row>
    <row r="71" spans="1:21" x14ac:dyDescent="0.3">
      <c r="A71" s="298"/>
      <c r="B71" s="542"/>
      <c r="C71" s="586" t="s">
        <v>83</v>
      </c>
      <c r="D71" s="563" t="str">
        <f>IF('A Test Recorded Data'!D67="",IF('A Test Recorded Data'!D137="","",'A Test Recorded Data'!D137),'A Test Recorded Data'!D67)</f>
        <v/>
      </c>
      <c r="E71" s="564" t="str">
        <f>IF('A Test Recorded Data'!E67="",IF('A Test Recorded Data'!E137="","",'A Test Recorded Data'!E137),'A Test Recorded Data'!E67)</f>
        <v/>
      </c>
      <c r="F71" s="565" t="str">
        <f>IF('A Test Recorded Data'!F67="",IF('A Test Recorded Data'!F137="","",'A Test Recorded Data'!F137),'A Test Recorded Data'!F67)</f>
        <v/>
      </c>
      <c r="G71" s="542"/>
      <c r="H71" s="566"/>
      <c r="I71" s="567"/>
      <c r="J71" s="568"/>
      <c r="K71" s="544"/>
      <c r="L71" s="566"/>
      <c r="M71" s="567"/>
      <c r="N71" s="568"/>
      <c r="O71" s="542"/>
      <c r="P71" s="566"/>
      <c r="Q71" s="567"/>
      <c r="R71" s="568"/>
      <c r="S71" s="544"/>
      <c r="T71" s="546"/>
      <c r="U71" s="533"/>
    </row>
    <row r="72" spans="1:21" x14ac:dyDescent="0.3">
      <c r="A72" s="298"/>
      <c r="B72" s="542"/>
      <c r="C72" s="586" t="s">
        <v>84</v>
      </c>
      <c r="D72" s="563" t="str">
        <f>IF('A Test Recorded Data'!D68="",IF('A Test Recorded Data'!D138="","",'A Test Recorded Data'!D138),'A Test Recorded Data'!D68)</f>
        <v/>
      </c>
      <c r="E72" s="564" t="str">
        <f>IF('A Test Recorded Data'!E68="",IF('A Test Recorded Data'!E138="","",'A Test Recorded Data'!E138),'A Test Recorded Data'!E68)</f>
        <v/>
      </c>
      <c r="F72" s="565" t="str">
        <f>IF('A Test Recorded Data'!F68="",IF('A Test Recorded Data'!F138="","",'A Test Recorded Data'!F138),'A Test Recorded Data'!F68)</f>
        <v/>
      </c>
      <c r="G72" s="542"/>
      <c r="H72" s="566"/>
      <c r="I72" s="567"/>
      <c r="J72" s="568"/>
      <c r="K72" s="544"/>
      <c r="L72" s="566"/>
      <c r="M72" s="567"/>
      <c r="N72" s="568"/>
      <c r="O72" s="542"/>
      <c r="P72" s="566"/>
      <c r="Q72" s="567"/>
      <c r="R72" s="568"/>
      <c r="S72" s="544"/>
      <c r="T72" s="546"/>
      <c r="U72" s="533"/>
    </row>
    <row r="73" spans="1:21" x14ac:dyDescent="0.3">
      <c r="A73" s="298"/>
      <c r="B73" s="542"/>
      <c r="C73" s="586" t="s">
        <v>85</v>
      </c>
      <c r="D73" s="563" t="str">
        <f>IF('A Test Recorded Data'!D69="",IF('A Test Recorded Data'!D139="","",'A Test Recorded Data'!D139),'A Test Recorded Data'!D69)</f>
        <v/>
      </c>
      <c r="E73" s="564" t="str">
        <f>IF('A Test Recorded Data'!E69="",IF('A Test Recorded Data'!E139="","",'A Test Recorded Data'!E139),'A Test Recorded Data'!E69)</f>
        <v/>
      </c>
      <c r="F73" s="565" t="str">
        <f>IF('A Test Recorded Data'!F69="",IF('A Test Recorded Data'!F139="","",'A Test Recorded Data'!F139),'A Test Recorded Data'!F69)</f>
        <v/>
      </c>
      <c r="G73" s="542"/>
      <c r="H73" s="566"/>
      <c r="I73" s="567"/>
      <c r="J73" s="568"/>
      <c r="K73" s="544"/>
      <c r="L73" s="566"/>
      <c r="M73" s="567"/>
      <c r="N73" s="568"/>
      <c r="O73" s="542"/>
      <c r="P73" s="566"/>
      <c r="Q73" s="567"/>
      <c r="R73" s="568"/>
      <c r="S73" s="544"/>
      <c r="T73" s="546"/>
      <c r="U73" s="533"/>
    </row>
    <row r="74" spans="1:21" x14ac:dyDescent="0.3">
      <c r="A74" s="298"/>
      <c r="B74" s="542"/>
      <c r="C74" s="586" t="s">
        <v>86</v>
      </c>
      <c r="D74" s="563" t="str">
        <f>IF('A Test Recorded Data'!D70="",IF('A Test Recorded Data'!D140="","",'A Test Recorded Data'!D140),'A Test Recorded Data'!D70)</f>
        <v/>
      </c>
      <c r="E74" s="564" t="str">
        <f>IF('A Test Recorded Data'!E70="",IF('A Test Recorded Data'!E140="","",'A Test Recorded Data'!E140),'A Test Recorded Data'!E70)</f>
        <v/>
      </c>
      <c r="F74" s="565" t="str">
        <f>IF('A Test Recorded Data'!F70="",IF('A Test Recorded Data'!F140="","",'A Test Recorded Data'!F140),'A Test Recorded Data'!F70)</f>
        <v/>
      </c>
      <c r="G74" s="542"/>
      <c r="H74" s="566"/>
      <c r="I74" s="567"/>
      <c r="J74" s="568"/>
      <c r="K74" s="544"/>
      <c r="L74" s="566"/>
      <c r="M74" s="567"/>
      <c r="N74" s="568"/>
      <c r="O74" s="542"/>
      <c r="P74" s="566"/>
      <c r="Q74" s="567"/>
      <c r="R74" s="568"/>
      <c r="S74" s="544"/>
      <c r="T74" s="546"/>
      <c r="U74" s="533"/>
    </row>
    <row r="75" spans="1:21" x14ac:dyDescent="0.3">
      <c r="A75" s="298"/>
      <c r="B75" s="542"/>
      <c r="C75" s="587" t="s">
        <v>87</v>
      </c>
      <c r="D75" s="563" t="str">
        <f>IF('A Test Recorded Data'!D71="",IF('A Test Recorded Data'!D141="","",'A Test Recorded Data'!D141),'A Test Recorded Data'!D71)</f>
        <v/>
      </c>
      <c r="E75" s="564" t="str">
        <f>IF('A Test Recorded Data'!E71="",IF('A Test Recorded Data'!E141="","",'A Test Recorded Data'!E141),'A Test Recorded Data'!E71)</f>
        <v/>
      </c>
      <c r="F75" s="565" t="str">
        <f>IF('A Test Recorded Data'!F71="",IF('A Test Recorded Data'!F141="","",'A Test Recorded Data'!F141),'A Test Recorded Data'!F71)</f>
        <v/>
      </c>
      <c r="G75" s="542"/>
      <c r="H75" s="566"/>
      <c r="I75" s="567"/>
      <c r="J75" s="568"/>
      <c r="K75" s="544"/>
      <c r="L75" s="566"/>
      <c r="M75" s="567"/>
      <c r="N75" s="568"/>
      <c r="O75" s="542"/>
      <c r="P75" s="566"/>
      <c r="Q75" s="567"/>
      <c r="R75" s="568"/>
      <c r="S75" s="544"/>
      <c r="T75" s="546"/>
      <c r="U75" s="533"/>
    </row>
    <row r="76" spans="1:21" x14ac:dyDescent="0.3">
      <c r="A76" s="298"/>
      <c r="B76" s="542"/>
      <c r="C76" s="586" t="s">
        <v>88</v>
      </c>
      <c r="D76" s="563" t="str">
        <f>IF('A Test Recorded Data'!D72="",IF('A Test Recorded Data'!D142="","",'A Test Recorded Data'!D142),'A Test Recorded Data'!D72)</f>
        <v/>
      </c>
      <c r="E76" s="564" t="str">
        <f>IF('A Test Recorded Data'!E72="",IF('A Test Recorded Data'!E142="","",'A Test Recorded Data'!E142),'A Test Recorded Data'!E72)</f>
        <v/>
      </c>
      <c r="F76" s="565" t="str">
        <f>IF('A Test Recorded Data'!F72="",IF('A Test Recorded Data'!F142="","",'A Test Recorded Data'!F142),'A Test Recorded Data'!F72)</f>
        <v/>
      </c>
      <c r="G76" s="542"/>
      <c r="H76" s="566"/>
      <c r="I76" s="567"/>
      <c r="J76" s="568"/>
      <c r="K76" s="544"/>
      <c r="L76" s="566"/>
      <c r="M76" s="567"/>
      <c r="N76" s="568"/>
      <c r="O76" s="542"/>
      <c r="P76" s="566"/>
      <c r="Q76" s="567"/>
      <c r="R76" s="568"/>
      <c r="S76" s="544"/>
      <c r="T76" s="546"/>
      <c r="U76" s="533"/>
    </row>
    <row r="77" spans="1:21" x14ac:dyDescent="0.3">
      <c r="A77" s="298"/>
      <c r="B77" s="542"/>
      <c r="C77" s="586" t="s">
        <v>89</v>
      </c>
      <c r="D77" s="563" t="str">
        <f>IF('A Test Recorded Data'!D73="",IF('A Test Recorded Data'!D143="","",'A Test Recorded Data'!D143),'A Test Recorded Data'!D73)</f>
        <v/>
      </c>
      <c r="E77" s="564" t="str">
        <f>IF('A Test Recorded Data'!E73="",IF('A Test Recorded Data'!E143="","",'A Test Recorded Data'!E143),'A Test Recorded Data'!E73)</f>
        <v/>
      </c>
      <c r="F77" s="565" t="str">
        <f>IF('A Test Recorded Data'!F73="",IF('A Test Recorded Data'!F143="","",'A Test Recorded Data'!F143),'A Test Recorded Data'!F73)</f>
        <v/>
      </c>
      <c r="G77" s="542"/>
      <c r="H77" s="566"/>
      <c r="I77" s="567"/>
      <c r="J77" s="568"/>
      <c r="K77" s="544"/>
      <c r="L77" s="566"/>
      <c r="M77" s="567"/>
      <c r="N77" s="568"/>
      <c r="O77" s="542"/>
      <c r="P77" s="566"/>
      <c r="Q77" s="567"/>
      <c r="R77" s="568"/>
      <c r="S77" s="544"/>
      <c r="T77" s="546"/>
      <c r="U77" s="533"/>
    </row>
    <row r="78" spans="1:21" ht="17.25" thickBot="1" x14ac:dyDescent="0.35">
      <c r="A78" s="298"/>
      <c r="B78" s="542"/>
      <c r="C78" s="588" t="s">
        <v>90</v>
      </c>
      <c r="D78" s="576" t="str">
        <f>IF('A Test Recorded Data'!D74="",IF('A Test Recorded Data'!D144="","",'A Test Recorded Data'!D144),'A Test Recorded Data'!D74)</f>
        <v/>
      </c>
      <c r="E78" s="577" t="str">
        <f>IF('A Test Recorded Data'!E74="",IF('A Test Recorded Data'!E144="","",'A Test Recorded Data'!E144),'A Test Recorded Data'!E74)</f>
        <v/>
      </c>
      <c r="F78" s="578" t="str">
        <f>IF('A Test Recorded Data'!F74="",IF('A Test Recorded Data'!F144="","",'A Test Recorded Data'!F144),'A Test Recorded Data'!F74)</f>
        <v/>
      </c>
      <c r="G78" s="542"/>
      <c r="H78" s="571"/>
      <c r="I78" s="579"/>
      <c r="J78" s="580"/>
      <c r="K78" s="544"/>
      <c r="L78" s="571"/>
      <c r="M78" s="579"/>
      <c r="N78" s="580"/>
      <c r="O78" s="542"/>
      <c r="P78" s="571"/>
      <c r="Q78" s="579"/>
      <c r="R78" s="580"/>
      <c r="S78" s="544"/>
      <c r="T78" s="546"/>
      <c r="U78" s="533"/>
    </row>
    <row r="79" spans="1:21" ht="17.25" thickBot="1" x14ac:dyDescent="0.35">
      <c r="A79" s="298"/>
      <c r="B79" s="542"/>
      <c r="C79" s="544"/>
      <c r="D79" s="544"/>
      <c r="E79" s="544"/>
      <c r="F79" s="544"/>
      <c r="G79" s="544"/>
      <c r="H79" s="544"/>
      <c r="I79" s="544"/>
      <c r="J79" s="544"/>
      <c r="K79" s="544"/>
      <c r="L79" s="544"/>
      <c r="M79" s="544"/>
      <c r="N79" s="544"/>
      <c r="O79" s="544"/>
      <c r="P79" s="544"/>
      <c r="Q79" s="544"/>
      <c r="R79" s="550"/>
      <c r="S79" s="544"/>
      <c r="T79" s="546"/>
      <c r="U79" s="533"/>
    </row>
    <row r="80" spans="1:21" ht="18" thickBot="1" x14ac:dyDescent="0.4">
      <c r="A80" s="298"/>
      <c r="B80" s="542"/>
      <c r="C80" s="589" t="s">
        <v>196</v>
      </c>
      <c r="D80" s="1000" t="s">
        <v>572</v>
      </c>
      <c r="E80" s="1001"/>
      <c r="F80" s="1002"/>
      <c r="G80" s="544"/>
      <c r="H80" s="1000" t="s">
        <v>573</v>
      </c>
      <c r="I80" s="1001"/>
      <c r="J80" s="1002"/>
      <c r="K80" s="544"/>
      <c r="L80" s="1000" t="s">
        <v>574</v>
      </c>
      <c r="M80" s="1001"/>
      <c r="N80" s="1002"/>
      <c r="O80" s="544"/>
      <c r="P80" s="1000" t="s">
        <v>575</v>
      </c>
      <c r="Q80" s="1001"/>
      <c r="R80" s="1002"/>
      <c r="S80" s="544"/>
      <c r="T80" s="546"/>
      <c r="U80" s="533"/>
    </row>
    <row r="81" spans="1:21" ht="17.25" x14ac:dyDescent="0.35">
      <c r="A81" s="298"/>
      <c r="B81" s="552"/>
      <c r="C81" s="553"/>
      <c r="D81" s="1006" t="s">
        <v>48</v>
      </c>
      <c r="E81" s="1007"/>
      <c r="F81" s="1008"/>
      <c r="G81" s="544"/>
      <c r="H81" s="1006" t="s">
        <v>48</v>
      </c>
      <c r="I81" s="1007"/>
      <c r="J81" s="1008"/>
      <c r="K81" s="544"/>
      <c r="L81" s="1006" t="s">
        <v>48</v>
      </c>
      <c r="M81" s="1007"/>
      <c r="N81" s="1008"/>
      <c r="O81" s="544"/>
      <c r="P81" s="1006" t="s">
        <v>48</v>
      </c>
      <c r="Q81" s="1007"/>
      <c r="R81" s="1008"/>
      <c r="S81" s="544"/>
      <c r="T81" s="546"/>
      <c r="U81" s="533"/>
    </row>
    <row r="82" spans="1:21" x14ac:dyDescent="0.3">
      <c r="A82" s="298"/>
      <c r="B82" s="542"/>
      <c r="C82" s="586" t="s">
        <v>195</v>
      </c>
      <c r="D82" s="1012" t="str">
        <f>IF('A Test Recorded Data'!D78:F78="",IF('A Test Recorded Data'!D148:F148="","",'A Test Recorded Data'!D148:F148),'A Test Recorded Data'!D78:F78)</f>
        <v/>
      </c>
      <c r="E82" s="960"/>
      <c r="F82" s="961"/>
      <c r="G82" s="544"/>
      <c r="H82" s="1013"/>
      <c r="I82" s="1014"/>
      <c r="J82" s="1015"/>
      <c r="K82" s="544"/>
      <c r="L82" s="1013"/>
      <c r="M82" s="1014"/>
      <c r="N82" s="1015"/>
      <c r="O82" s="544"/>
      <c r="P82" s="1013"/>
      <c r="Q82" s="1014"/>
      <c r="R82" s="1015"/>
      <c r="S82" s="544"/>
      <c r="T82" s="546"/>
      <c r="U82" s="533"/>
    </row>
    <row r="83" spans="1:21" x14ac:dyDescent="0.3">
      <c r="A83" s="298"/>
      <c r="B83" s="542"/>
      <c r="C83" s="586" t="s">
        <v>194</v>
      </c>
      <c r="D83" s="1012" t="str">
        <f>IF('A Test Recorded Data'!D79:F79="",IF('A Test Recorded Data'!D149:F149="","",'A Test Recorded Data'!D149:F149),'A Test Recorded Data'!D79:F79)</f>
        <v/>
      </c>
      <c r="E83" s="960"/>
      <c r="F83" s="961"/>
      <c r="G83" s="544"/>
      <c r="H83" s="1013"/>
      <c r="I83" s="1014"/>
      <c r="J83" s="1015"/>
      <c r="K83" s="544"/>
      <c r="L83" s="1013"/>
      <c r="M83" s="1014"/>
      <c r="N83" s="1015"/>
      <c r="O83" s="544"/>
      <c r="P83" s="1013"/>
      <c r="Q83" s="1014"/>
      <c r="R83" s="1015"/>
      <c r="S83" s="544"/>
      <c r="T83" s="546"/>
      <c r="U83" s="533"/>
    </row>
    <row r="84" spans="1:21" x14ac:dyDescent="0.3">
      <c r="A84" s="298"/>
      <c r="B84" s="542"/>
      <c r="C84" s="586" t="s">
        <v>308</v>
      </c>
      <c r="D84" s="1012" t="str">
        <f>IF('A Test Recorded Data'!D80:F80="",IF('A Test Recorded Data'!D150:F150="","",'A Test Recorded Data'!D150:F150),'A Test Recorded Data'!D80:F80)</f>
        <v/>
      </c>
      <c r="E84" s="960"/>
      <c r="F84" s="961"/>
      <c r="G84" s="544"/>
      <c r="H84" s="1013"/>
      <c r="I84" s="1014"/>
      <c r="J84" s="1015"/>
      <c r="K84" s="544"/>
      <c r="L84" s="1013"/>
      <c r="M84" s="1014"/>
      <c r="N84" s="1015"/>
      <c r="O84" s="544"/>
      <c r="P84" s="1013"/>
      <c r="Q84" s="1014"/>
      <c r="R84" s="1015"/>
      <c r="S84" s="544"/>
      <c r="T84" s="546"/>
      <c r="U84" s="533"/>
    </row>
    <row r="85" spans="1:21" x14ac:dyDescent="0.3">
      <c r="A85" s="298"/>
      <c r="B85" s="542"/>
      <c r="C85" s="586" t="s">
        <v>94</v>
      </c>
      <c r="D85" s="1012" t="str">
        <f>IF(D82="","", IF(D82+D84=0,"",D82+D84))</f>
        <v/>
      </c>
      <c r="E85" s="960"/>
      <c r="F85" s="961"/>
      <c r="G85" s="544"/>
      <c r="H85" s="1012" t="str">
        <f>IF(H82+H84=0,"",H82+H84)</f>
        <v/>
      </c>
      <c r="I85" s="960"/>
      <c r="J85" s="961"/>
      <c r="K85" s="544"/>
      <c r="L85" s="1012" t="str">
        <f>IF(L82+L84=0,"",L82+L84)</f>
        <v/>
      </c>
      <c r="M85" s="960"/>
      <c r="N85" s="961"/>
      <c r="O85" s="544"/>
      <c r="P85" s="1012" t="str">
        <f>IF(P82+P84=0,"",P82+P84)</f>
        <v/>
      </c>
      <c r="Q85" s="960"/>
      <c r="R85" s="961"/>
      <c r="S85" s="544"/>
      <c r="T85" s="546"/>
      <c r="U85" s="533"/>
    </row>
    <row r="86" spans="1:21" x14ac:dyDescent="0.3">
      <c r="A86" s="298"/>
      <c r="B86" s="542"/>
      <c r="C86" s="586" t="s">
        <v>193</v>
      </c>
      <c r="D86" s="1012" t="str">
        <f>IF('A Test Recorded Data'!D82:F82="",IF('A Test Recorded Data'!D152:F152="","",'A Test Recorded Data'!D152:F152),'A Test Recorded Data'!D82:F82)</f>
        <v/>
      </c>
      <c r="E86" s="960"/>
      <c r="F86" s="961"/>
      <c r="G86" s="544"/>
      <c r="H86" s="1013"/>
      <c r="I86" s="1014"/>
      <c r="J86" s="1015"/>
      <c r="K86" s="544"/>
      <c r="L86" s="1013"/>
      <c r="M86" s="1014"/>
      <c r="N86" s="1015"/>
      <c r="O86" s="544"/>
      <c r="P86" s="1013"/>
      <c r="Q86" s="1014"/>
      <c r="R86" s="1015"/>
      <c r="S86" s="544"/>
      <c r="T86" s="546"/>
      <c r="U86" s="533"/>
    </row>
    <row r="87" spans="1:21" x14ac:dyDescent="0.3">
      <c r="A87" s="298"/>
      <c r="B87" s="542"/>
      <c r="C87" s="586" t="s">
        <v>192</v>
      </c>
      <c r="D87" s="1012" t="str">
        <f>IF('A Test Recorded Data'!D83:F83="",IF('A Test Recorded Data'!D153:F153="","",'A Test Recorded Data'!D153:F153),'A Test Recorded Data'!D83:F83)</f>
        <v/>
      </c>
      <c r="E87" s="960"/>
      <c r="F87" s="961"/>
      <c r="G87" s="544"/>
      <c r="H87" s="1013"/>
      <c r="I87" s="1014"/>
      <c r="J87" s="1015"/>
      <c r="K87" s="544"/>
      <c r="L87" s="1013"/>
      <c r="M87" s="1014"/>
      <c r="N87" s="1015"/>
      <c r="O87" s="544"/>
      <c r="P87" s="1013"/>
      <c r="Q87" s="1014"/>
      <c r="R87" s="1015"/>
      <c r="S87" s="544"/>
      <c r="T87" s="546"/>
      <c r="U87" s="533"/>
    </row>
    <row r="88" spans="1:21" x14ac:dyDescent="0.3">
      <c r="A88" s="298"/>
      <c r="B88" s="542"/>
      <c r="C88" s="586" t="s">
        <v>191</v>
      </c>
      <c r="D88" s="1012" t="str">
        <f>IF('A Test Recorded Data'!D84:F84="",IF('A Test Recorded Data'!D154:F154="","",'A Test Recorded Data'!D154:F154),'A Test Recorded Data'!D84:F84)</f>
        <v/>
      </c>
      <c r="E88" s="960"/>
      <c r="F88" s="961"/>
      <c r="G88" s="544"/>
      <c r="H88" s="1013"/>
      <c r="I88" s="1014"/>
      <c r="J88" s="1015"/>
      <c r="K88" s="544"/>
      <c r="L88" s="1013"/>
      <c r="M88" s="1014"/>
      <c r="N88" s="1015"/>
      <c r="O88" s="544"/>
      <c r="P88" s="1013"/>
      <c r="Q88" s="1014"/>
      <c r="R88" s="1015"/>
      <c r="S88" s="544"/>
      <c r="T88" s="546"/>
      <c r="U88" s="533"/>
    </row>
    <row r="89" spans="1:21" x14ac:dyDescent="0.3">
      <c r="A89" s="298"/>
      <c r="B89" s="542"/>
      <c r="C89" s="586" t="s">
        <v>308</v>
      </c>
      <c r="D89" s="1012" t="str">
        <f>IF('A Test Recorded Data'!D85:F85="",IF('A Test Recorded Data'!D155:F155="","",'A Test Recorded Data'!D155:F155),'A Test Recorded Data'!D85:F85)</f>
        <v/>
      </c>
      <c r="E89" s="960"/>
      <c r="F89" s="961"/>
      <c r="G89" s="544"/>
      <c r="H89" s="1013"/>
      <c r="I89" s="1014"/>
      <c r="J89" s="1015"/>
      <c r="K89" s="544"/>
      <c r="L89" s="1013"/>
      <c r="M89" s="1014"/>
      <c r="N89" s="1015"/>
      <c r="O89" s="544"/>
      <c r="P89" s="1013"/>
      <c r="Q89" s="1014"/>
      <c r="R89" s="1015"/>
      <c r="S89" s="544"/>
      <c r="T89" s="546"/>
      <c r="U89" s="533"/>
    </row>
    <row r="90" spans="1:21" ht="17.25" thickBot="1" x14ac:dyDescent="0.35">
      <c r="A90" s="298"/>
      <c r="B90" s="590"/>
      <c r="C90" s="588" t="s">
        <v>94</v>
      </c>
      <c r="D90" s="1016" t="str">
        <f>IF(D87="","", IF(D87+D89=0,"",D87+D89))</f>
        <v/>
      </c>
      <c r="E90" s="958"/>
      <c r="F90" s="959"/>
      <c r="G90" s="572"/>
      <c r="H90" s="1016" t="str">
        <f>IF(H87+H89=0,"",H87+H89)</f>
        <v/>
      </c>
      <c r="I90" s="958"/>
      <c r="J90" s="959"/>
      <c r="K90" s="572"/>
      <c r="L90" s="1016" t="str">
        <f>IF(L87+L89=0,"",L87+L89)</f>
        <v/>
      </c>
      <c r="M90" s="958"/>
      <c r="N90" s="959"/>
      <c r="O90" s="572"/>
      <c r="P90" s="1016" t="str">
        <f>IF(P87+P89=0,"",P87+P89)</f>
        <v/>
      </c>
      <c r="Q90" s="958"/>
      <c r="R90" s="959"/>
      <c r="S90" s="544"/>
      <c r="T90" s="546"/>
      <c r="U90" s="533"/>
    </row>
    <row r="91" spans="1:21" ht="17.25" thickBot="1" x14ac:dyDescent="0.35">
      <c r="A91" s="298"/>
      <c r="B91" s="544"/>
      <c r="C91" s="544"/>
      <c r="D91" s="544"/>
      <c r="E91" s="544"/>
      <c r="F91" s="544"/>
      <c r="G91" s="544"/>
      <c r="H91" s="544"/>
      <c r="I91" s="544"/>
      <c r="J91" s="544"/>
      <c r="K91" s="544"/>
      <c r="L91" s="544"/>
      <c r="M91" s="544"/>
      <c r="N91" s="544"/>
      <c r="O91" s="544"/>
      <c r="P91" s="544"/>
      <c r="Q91" s="544"/>
      <c r="R91" s="550"/>
      <c r="S91" s="544"/>
      <c r="T91" s="546"/>
      <c r="U91" s="533"/>
    </row>
    <row r="92" spans="1:21" ht="18.75" thickBot="1" x14ac:dyDescent="0.4">
      <c r="B92" s="547" t="s">
        <v>580</v>
      </c>
      <c r="C92" s="548"/>
      <c r="D92" s="548"/>
      <c r="E92" s="548"/>
      <c r="F92" s="548"/>
      <c r="G92" s="548"/>
      <c r="H92" s="548"/>
      <c r="I92" s="548"/>
      <c r="J92" s="548"/>
      <c r="K92" s="548"/>
      <c r="L92" s="548"/>
      <c r="M92" s="548"/>
      <c r="N92" s="548"/>
      <c r="O92" s="548"/>
      <c r="P92" s="548"/>
      <c r="Q92" s="548"/>
      <c r="R92" s="549"/>
      <c r="S92" s="544"/>
      <c r="T92" s="538"/>
      <c r="U92" s="533"/>
    </row>
    <row r="93" spans="1:21" x14ac:dyDescent="0.3">
      <c r="A93" s="298"/>
      <c r="B93" s="542"/>
      <c r="C93" s="544"/>
      <c r="D93" s="544"/>
      <c r="E93" s="544"/>
      <c r="F93" s="544"/>
      <c r="G93" s="544"/>
      <c r="H93" s="544"/>
      <c r="I93" s="544"/>
      <c r="J93" s="544"/>
      <c r="K93" s="544"/>
      <c r="L93" s="544"/>
      <c r="M93" s="544"/>
      <c r="N93" s="544"/>
      <c r="O93" s="544"/>
      <c r="P93" s="544"/>
      <c r="Q93" s="544"/>
      <c r="R93" s="550"/>
      <c r="S93" s="544"/>
      <c r="T93" s="546"/>
      <c r="U93" s="533"/>
    </row>
    <row r="94" spans="1:21" ht="17.25" thickBot="1" x14ac:dyDescent="0.35">
      <c r="A94" s="298"/>
      <c r="B94" s="542"/>
      <c r="C94" s="544"/>
      <c r="D94" s="544"/>
      <c r="E94" s="544"/>
      <c r="F94" s="544"/>
      <c r="G94" s="544"/>
      <c r="H94" s="544"/>
      <c r="I94" s="544"/>
      <c r="J94" s="544"/>
      <c r="K94" s="544"/>
      <c r="L94" s="544"/>
      <c r="M94" s="544"/>
      <c r="N94" s="544"/>
      <c r="O94" s="544"/>
      <c r="P94" s="544"/>
      <c r="Q94" s="544"/>
      <c r="R94" s="550"/>
      <c r="S94" s="544"/>
      <c r="T94" s="546"/>
      <c r="U94" s="533"/>
    </row>
    <row r="95" spans="1:21" ht="18" thickBot="1" x14ac:dyDescent="0.4">
      <c r="A95" s="298"/>
      <c r="B95" s="542"/>
      <c r="C95" s="591" t="s">
        <v>581</v>
      </c>
      <c r="D95" s="1000" t="s">
        <v>582</v>
      </c>
      <c r="E95" s="1001"/>
      <c r="F95" s="1002"/>
      <c r="G95" s="544"/>
      <c r="H95" s="1000" t="s">
        <v>583</v>
      </c>
      <c r="I95" s="1001"/>
      <c r="J95" s="1002"/>
      <c r="K95" s="544"/>
      <c r="L95" s="1000" t="s">
        <v>584</v>
      </c>
      <c r="M95" s="1001"/>
      <c r="N95" s="1002"/>
      <c r="O95" s="544"/>
      <c r="P95" s="1000" t="s">
        <v>585</v>
      </c>
      <c r="Q95" s="1001"/>
      <c r="R95" s="1002"/>
      <c r="S95" s="544"/>
      <c r="T95" s="546"/>
      <c r="U95" s="533"/>
    </row>
    <row r="96" spans="1:21" ht="17.25" x14ac:dyDescent="0.35">
      <c r="A96" s="298"/>
      <c r="B96" s="542"/>
      <c r="C96" s="552" t="s">
        <v>52</v>
      </c>
      <c r="D96" s="544"/>
      <c r="E96" s="544"/>
      <c r="F96" s="550"/>
      <c r="G96" s="544"/>
      <c r="H96" s="542"/>
      <c r="I96" s="544"/>
      <c r="J96" s="550"/>
      <c r="K96" s="544"/>
      <c r="L96" s="542"/>
      <c r="M96" s="544"/>
      <c r="N96" s="550"/>
      <c r="O96" s="544"/>
      <c r="P96" s="542"/>
      <c r="Q96" s="544"/>
      <c r="R96" s="550"/>
      <c r="S96" s="544"/>
      <c r="T96" s="546"/>
      <c r="U96" s="533"/>
    </row>
    <row r="97" spans="1:21" ht="17.25" thickBot="1" x14ac:dyDescent="0.35">
      <c r="A97" s="298"/>
      <c r="B97" s="542"/>
      <c r="C97" s="592" t="s">
        <v>53</v>
      </c>
      <c r="D97" s="1017"/>
      <c r="E97" s="1004"/>
      <c r="F97" s="1005"/>
      <c r="G97" s="544"/>
      <c r="H97" s="1003"/>
      <c r="I97" s="1004"/>
      <c r="J97" s="1005"/>
      <c r="K97" s="544"/>
      <c r="L97" s="1003"/>
      <c r="M97" s="1004"/>
      <c r="N97" s="1005"/>
      <c r="O97" s="544"/>
      <c r="P97" s="1003"/>
      <c r="Q97" s="1004"/>
      <c r="R97" s="1005"/>
      <c r="S97" s="544"/>
      <c r="T97" s="546"/>
      <c r="U97" s="533"/>
    </row>
    <row r="98" spans="1:21" x14ac:dyDescent="0.3">
      <c r="A98" s="298"/>
      <c r="B98" s="542"/>
      <c r="C98" s="544"/>
      <c r="D98" s="544"/>
      <c r="E98" s="544"/>
      <c r="F98" s="544"/>
      <c r="G98" s="544"/>
      <c r="H98" s="544"/>
      <c r="I98" s="544"/>
      <c r="J98" s="544"/>
      <c r="K98" s="544"/>
      <c r="L98" s="544"/>
      <c r="M98" s="544"/>
      <c r="N98" s="544"/>
      <c r="O98" s="544"/>
      <c r="P98" s="544"/>
      <c r="Q98" s="544"/>
      <c r="R98" s="550"/>
      <c r="S98" s="544"/>
      <c r="T98" s="546"/>
      <c r="U98" s="533"/>
    </row>
    <row r="99" spans="1:21" ht="17.25" thickBot="1" x14ac:dyDescent="0.35">
      <c r="A99" s="298"/>
      <c r="B99" s="542"/>
      <c r="C99" s="544"/>
      <c r="D99" s="544"/>
      <c r="E99" s="544"/>
      <c r="F99" s="544"/>
      <c r="G99" s="544"/>
      <c r="H99" s="544"/>
      <c r="I99" s="544"/>
      <c r="J99" s="544"/>
      <c r="K99" s="544"/>
      <c r="L99" s="544"/>
      <c r="M99" s="544"/>
      <c r="N99" s="544"/>
      <c r="O99" s="544"/>
      <c r="P99" s="544"/>
      <c r="Q99" s="544"/>
      <c r="R99" s="550"/>
      <c r="S99" s="544"/>
      <c r="T99" s="546"/>
      <c r="U99" s="533"/>
    </row>
    <row r="100" spans="1:21" ht="18" thickBot="1" x14ac:dyDescent="0.4">
      <c r="A100" s="298"/>
      <c r="B100" s="542"/>
      <c r="C100" s="589" t="s">
        <v>55</v>
      </c>
      <c r="D100" s="1000" t="s">
        <v>582</v>
      </c>
      <c r="E100" s="1001"/>
      <c r="F100" s="1002"/>
      <c r="G100" s="544"/>
      <c r="H100" s="1000" t="s">
        <v>583</v>
      </c>
      <c r="I100" s="1001"/>
      <c r="J100" s="1002"/>
      <c r="K100" s="544"/>
      <c r="L100" s="1000" t="s">
        <v>584</v>
      </c>
      <c r="M100" s="1001"/>
      <c r="N100" s="1002"/>
      <c r="O100" s="544"/>
      <c r="P100" s="1000" t="s">
        <v>585</v>
      </c>
      <c r="Q100" s="1001"/>
      <c r="R100" s="1002"/>
      <c r="S100" s="544"/>
      <c r="T100" s="546"/>
      <c r="U100" s="533"/>
    </row>
    <row r="101" spans="1:21" ht="17.25" x14ac:dyDescent="0.35">
      <c r="A101" s="298"/>
      <c r="B101" s="542"/>
      <c r="C101" s="553"/>
      <c r="D101" s="1006" t="s">
        <v>48</v>
      </c>
      <c r="E101" s="1007"/>
      <c r="F101" s="1008"/>
      <c r="G101" s="544"/>
      <c r="H101" s="1006" t="s">
        <v>48</v>
      </c>
      <c r="I101" s="1007"/>
      <c r="J101" s="1008"/>
      <c r="K101" s="544"/>
      <c r="L101" s="1006" t="s">
        <v>48</v>
      </c>
      <c r="M101" s="1007"/>
      <c r="N101" s="1008"/>
      <c r="O101" s="544"/>
      <c r="P101" s="1006" t="s">
        <v>48</v>
      </c>
      <c r="Q101" s="1007"/>
      <c r="R101" s="1008"/>
      <c r="S101" s="544"/>
      <c r="T101" s="546"/>
      <c r="U101" s="533"/>
    </row>
    <row r="102" spans="1:21" ht="17.25" x14ac:dyDescent="0.35">
      <c r="A102" s="298"/>
      <c r="B102" s="542"/>
      <c r="C102" s="542"/>
      <c r="D102" s="559" t="s">
        <v>56</v>
      </c>
      <c r="E102" s="560" t="s">
        <v>57</v>
      </c>
      <c r="F102" s="561" t="s">
        <v>58</v>
      </c>
      <c r="G102" s="544"/>
      <c r="H102" s="559" t="s">
        <v>56</v>
      </c>
      <c r="I102" s="560" t="s">
        <v>57</v>
      </c>
      <c r="J102" s="561" t="s">
        <v>58</v>
      </c>
      <c r="K102" s="544"/>
      <c r="L102" s="559" t="s">
        <v>56</v>
      </c>
      <c r="M102" s="560" t="s">
        <v>57</v>
      </c>
      <c r="N102" s="561" t="s">
        <v>58</v>
      </c>
      <c r="O102" s="544"/>
      <c r="P102" s="559" t="s">
        <v>56</v>
      </c>
      <c r="Q102" s="560" t="s">
        <v>57</v>
      </c>
      <c r="R102" s="561" t="s">
        <v>58</v>
      </c>
      <c r="S102" s="544"/>
      <c r="T102" s="546"/>
      <c r="U102" s="533"/>
    </row>
    <row r="103" spans="1:21" x14ac:dyDescent="0.3">
      <c r="A103" s="298"/>
      <c r="B103" s="542"/>
      <c r="C103" s="562" t="s">
        <v>442</v>
      </c>
      <c r="D103" s="566"/>
      <c r="E103" s="567"/>
      <c r="F103" s="568"/>
      <c r="G103" s="544"/>
      <c r="H103" s="566"/>
      <c r="I103" s="567"/>
      <c r="J103" s="568"/>
      <c r="K103" s="544"/>
      <c r="L103" s="566"/>
      <c r="M103" s="567"/>
      <c r="N103" s="568"/>
      <c r="O103" s="544"/>
      <c r="P103" s="566"/>
      <c r="Q103" s="567"/>
      <c r="R103" s="568"/>
      <c r="S103" s="544"/>
      <c r="T103" s="546"/>
      <c r="U103" s="533"/>
    </row>
    <row r="104" spans="1:21" x14ac:dyDescent="0.3">
      <c r="A104" s="298"/>
      <c r="B104" s="542"/>
      <c r="C104" s="562" t="s">
        <v>443</v>
      </c>
      <c r="D104" s="566"/>
      <c r="E104" s="567"/>
      <c r="F104" s="568"/>
      <c r="G104" s="544"/>
      <c r="H104" s="566"/>
      <c r="I104" s="567"/>
      <c r="J104" s="568"/>
      <c r="K104" s="544"/>
      <c r="L104" s="566"/>
      <c r="M104" s="567"/>
      <c r="N104" s="568"/>
      <c r="O104" s="544"/>
      <c r="P104" s="566"/>
      <c r="Q104" s="567"/>
      <c r="R104" s="568"/>
      <c r="S104" s="544"/>
      <c r="T104" s="546"/>
      <c r="U104" s="533"/>
    </row>
    <row r="105" spans="1:21" x14ac:dyDescent="0.3">
      <c r="A105" s="298"/>
      <c r="B105" s="542"/>
      <c r="C105" s="562" t="s">
        <v>59</v>
      </c>
      <c r="D105" s="566"/>
      <c r="E105" s="567"/>
      <c r="F105" s="568"/>
      <c r="G105" s="544"/>
      <c r="H105" s="566"/>
      <c r="I105" s="567"/>
      <c r="J105" s="568"/>
      <c r="K105" s="544"/>
      <c r="L105" s="566"/>
      <c r="M105" s="567"/>
      <c r="N105" s="568"/>
      <c r="O105" s="544"/>
      <c r="P105" s="566"/>
      <c r="Q105" s="567"/>
      <c r="R105" s="568"/>
      <c r="S105" s="544"/>
      <c r="T105" s="546"/>
      <c r="U105" s="533"/>
    </row>
    <row r="106" spans="1:21" x14ac:dyDescent="0.3">
      <c r="A106" s="298"/>
      <c r="B106" s="542"/>
      <c r="C106" s="562" t="s">
        <v>60</v>
      </c>
      <c r="D106" s="566"/>
      <c r="E106" s="567"/>
      <c r="F106" s="568"/>
      <c r="G106" s="544"/>
      <c r="H106" s="566"/>
      <c r="I106" s="567"/>
      <c r="J106" s="568"/>
      <c r="K106" s="544"/>
      <c r="L106" s="566"/>
      <c r="M106" s="567"/>
      <c r="N106" s="568"/>
      <c r="O106" s="544"/>
      <c r="P106" s="566"/>
      <c r="Q106" s="567"/>
      <c r="R106" s="568"/>
      <c r="S106" s="544"/>
      <c r="T106" s="546"/>
      <c r="U106" s="533"/>
    </row>
    <row r="107" spans="1:21" x14ac:dyDescent="0.3">
      <c r="A107" s="298"/>
      <c r="B107" s="542"/>
      <c r="C107" s="569" t="s">
        <v>576</v>
      </c>
      <c r="D107" s="566"/>
      <c r="E107" s="544"/>
      <c r="F107" s="550"/>
      <c r="G107" s="544"/>
      <c r="H107" s="566"/>
      <c r="I107" s="544"/>
      <c r="J107" s="550"/>
      <c r="K107" s="544"/>
      <c r="L107" s="566"/>
      <c r="M107" s="544"/>
      <c r="N107" s="550"/>
      <c r="O107" s="544"/>
      <c r="P107" s="566"/>
      <c r="Q107" s="544"/>
      <c r="R107" s="550"/>
      <c r="S107" s="544"/>
      <c r="T107" s="546"/>
      <c r="U107" s="533"/>
    </row>
    <row r="108" spans="1:21" x14ac:dyDescent="0.3">
      <c r="A108" s="298"/>
      <c r="B108" s="542"/>
      <c r="C108" s="569" t="s">
        <v>577</v>
      </c>
      <c r="D108" s="566"/>
      <c r="E108" s="544"/>
      <c r="F108" s="550"/>
      <c r="G108" s="544"/>
      <c r="H108" s="566"/>
      <c r="I108" s="544"/>
      <c r="J108" s="550"/>
      <c r="K108" s="544"/>
      <c r="L108" s="566"/>
      <c r="M108" s="544"/>
      <c r="N108" s="550"/>
      <c r="O108" s="544"/>
      <c r="P108" s="566"/>
      <c r="Q108" s="544"/>
      <c r="R108" s="550"/>
      <c r="S108" s="544"/>
      <c r="T108" s="546"/>
      <c r="U108" s="533"/>
    </row>
    <row r="109" spans="1:21" x14ac:dyDescent="0.3">
      <c r="A109" s="298"/>
      <c r="B109" s="542"/>
      <c r="C109" s="569" t="s">
        <v>578</v>
      </c>
      <c r="D109" s="566"/>
      <c r="E109" s="544"/>
      <c r="F109" s="550"/>
      <c r="G109" s="544"/>
      <c r="H109" s="566"/>
      <c r="I109" s="544"/>
      <c r="J109" s="550"/>
      <c r="K109" s="544"/>
      <c r="L109" s="566"/>
      <c r="M109" s="544"/>
      <c r="N109" s="550"/>
      <c r="O109" s="544"/>
      <c r="P109" s="566"/>
      <c r="Q109" s="544"/>
      <c r="R109" s="550"/>
      <c r="S109" s="544"/>
      <c r="T109" s="546"/>
      <c r="U109" s="533"/>
    </row>
    <row r="110" spans="1:21" ht="17.25" thickBot="1" x14ac:dyDescent="0.35">
      <c r="A110" s="298"/>
      <c r="B110" s="542"/>
      <c r="C110" s="570" t="s">
        <v>579</v>
      </c>
      <c r="D110" s="571"/>
      <c r="E110" s="572"/>
      <c r="F110" s="573"/>
      <c r="G110" s="544"/>
      <c r="H110" s="571"/>
      <c r="I110" s="572"/>
      <c r="J110" s="573"/>
      <c r="K110" s="544"/>
      <c r="L110" s="571"/>
      <c r="M110" s="572"/>
      <c r="N110" s="573"/>
      <c r="O110" s="544"/>
      <c r="P110" s="571"/>
      <c r="Q110" s="572"/>
      <c r="R110" s="573"/>
      <c r="S110" s="544"/>
      <c r="T110" s="546"/>
      <c r="U110" s="533"/>
    </row>
    <row r="111" spans="1:21" ht="17.25" thickBot="1" x14ac:dyDescent="0.35">
      <c r="A111" s="298"/>
      <c r="B111" s="542"/>
      <c r="C111" s="574"/>
      <c r="D111" s="544"/>
      <c r="E111" s="544"/>
      <c r="F111" s="544"/>
      <c r="G111" s="544"/>
      <c r="H111" s="544"/>
      <c r="I111" s="544"/>
      <c r="J111" s="544"/>
      <c r="K111" s="544"/>
      <c r="L111" s="544"/>
      <c r="M111" s="544"/>
      <c r="N111" s="544"/>
      <c r="O111" s="544"/>
      <c r="P111" s="544"/>
      <c r="Q111" s="544"/>
      <c r="R111" s="550"/>
      <c r="S111" s="544"/>
      <c r="T111" s="546"/>
      <c r="U111" s="533"/>
    </row>
    <row r="112" spans="1:21" ht="18" thickBot="1" x14ac:dyDescent="0.4">
      <c r="A112" s="298"/>
      <c r="B112" s="542"/>
      <c r="C112" s="589" t="s">
        <v>61</v>
      </c>
      <c r="D112" s="1000" t="s">
        <v>582</v>
      </c>
      <c r="E112" s="1001"/>
      <c r="F112" s="1002"/>
      <c r="G112" s="544"/>
      <c r="H112" s="1000" t="s">
        <v>583</v>
      </c>
      <c r="I112" s="1001"/>
      <c r="J112" s="1002"/>
      <c r="K112" s="544"/>
      <c r="L112" s="1000" t="s">
        <v>584</v>
      </c>
      <c r="M112" s="1001"/>
      <c r="N112" s="1002"/>
      <c r="O112" s="544"/>
      <c r="P112" s="1000" t="s">
        <v>585</v>
      </c>
      <c r="Q112" s="1001"/>
      <c r="R112" s="1002"/>
      <c r="S112" s="544"/>
      <c r="T112" s="546"/>
      <c r="U112" s="533"/>
    </row>
    <row r="113" spans="1:21" ht="17.25" x14ac:dyDescent="0.35">
      <c r="A113" s="298"/>
      <c r="B113" s="542"/>
      <c r="C113" s="553"/>
      <c r="D113" s="1006" t="s">
        <v>48</v>
      </c>
      <c r="E113" s="1007"/>
      <c r="F113" s="1008"/>
      <c r="G113" s="542"/>
      <c r="H113" s="1006" t="s">
        <v>48</v>
      </c>
      <c r="I113" s="1007"/>
      <c r="J113" s="1008"/>
      <c r="K113" s="542"/>
      <c r="L113" s="1006" t="s">
        <v>48</v>
      </c>
      <c r="M113" s="1007"/>
      <c r="N113" s="1008"/>
      <c r="O113" s="542"/>
      <c r="P113" s="1006" t="s">
        <v>48</v>
      </c>
      <c r="Q113" s="1007"/>
      <c r="R113" s="1008"/>
      <c r="S113" s="544"/>
      <c r="T113" s="546"/>
      <c r="U113" s="533"/>
    </row>
    <row r="114" spans="1:21" ht="17.25" x14ac:dyDescent="0.35">
      <c r="A114" s="298"/>
      <c r="B114" s="542"/>
      <c r="C114" s="575"/>
      <c r="D114" s="559" t="s">
        <v>56</v>
      </c>
      <c r="E114" s="560" t="s">
        <v>57</v>
      </c>
      <c r="F114" s="561" t="s">
        <v>58</v>
      </c>
      <c r="G114" s="542"/>
      <c r="H114" s="559" t="s">
        <v>56</v>
      </c>
      <c r="I114" s="560" t="s">
        <v>57</v>
      </c>
      <c r="J114" s="561" t="s">
        <v>58</v>
      </c>
      <c r="K114" s="542"/>
      <c r="L114" s="559" t="s">
        <v>56</v>
      </c>
      <c r="M114" s="560" t="s">
        <v>57</v>
      </c>
      <c r="N114" s="561" t="s">
        <v>58</v>
      </c>
      <c r="O114" s="542"/>
      <c r="P114" s="559" t="s">
        <v>56</v>
      </c>
      <c r="Q114" s="560" t="s">
        <v>57</v>
      </c>
      <c r="R114" s="561" t="s">
        <v>58</v>
      </c>
      <c r="S114" s="544"/>
      <c r="T114" s="546"/>
      <c r="U114" s="533"/>
    </row>
    <row r="115" spans="1:21" x14ac:dyDescent="0.3">
      <c r="A115" s="298"/>
      <c r="B115" s="542"/>
      <c r="C115" s="562" t="s">
        <v>62</v>
      </c>
      <c r="D115" s="566"/>
      <c r="E115" s="567"/>
      <c r="F115" s="568"/>
      <c r="G115" s="542"/>
      <c r="H115" s="566"/>
      <c r="I115" s="567"/>
      <c r="J115" s="568"/>
      <c r="K115" s="542"/>
      <c r="L115" s="566"/>
      <c r="M115" s="567"/>
      <c r="N115" s="568"/>
      <c r="O115" s="542"/>
      <c r="P115" s="566"/>
      <c r="Q115" s="567"/>
      <c r="R115" s="568"/>
      <c r="S115" s="544"/>
      <c r="T115" s="546"/>
      <c r="U115" s="533"/>
    </row>
    <row r="116" spans="1:21" x14ac:dyDescent="0.3">
      <c r="A116" s="298"/>
      <c r="B116" s="542"/>
      <c r="C116" s="562" t="s">
        <v>63</v>
      </c>
      <c r="D116" s="566"/>
      <c r="E116" s="567"/>
      <c r="F116" s="568"/>
      <c r="G116" s="542"/>
      <c r="H116" s="566"/>
      <c r="I116" s="567"/>
      <c r="J116" s="568"/>
      <c r="K116" s="542"/>
      <c r="L116" s="566"/>
      <c r="M116" s="567"/>
      <c r="N116" s="568"/>
      <c r="O116" s="542"/>
      <c r="P116" s="566"/>
      <c r="Q116" s="567"/>
      <c r="R116" s="568"/>
      <c r="S116" s="544"/>
      <c r="T116" s="546"/>
      <c r="U116" s="533"/>
    </row>
    <row r="117" spans="1:21" x14ac:dyDescent="0.3">
      <c r="A117" s="298"/>
      <c r="B117" s="542"/>
      <c r="C117" s="562" t="s">
        <v>64</v>
      </c>
      <c r="D117" s="566"/>
      <c r="E117" s="567"/>
      <c r="F117" s="568"/>
      <c r="G117" s="542"/>
      <c r="H117" s="566"/>
      <c r="I117" s="567"/>
      <c r="J117" s="568"/>
      <c r="K117" s="542"/>
      <c r="L117" s="566"/>
      <c r="M117" s="567"/>
      <c r="N117" s="568"/>
      <c r="O117" s="542"/>
      <c r="P117" s="566"/>
      <c r="Q117" s="567"/>
      <c r="R117" s="568"/>
      <c r="S117" s="544"/>
      <c r="T117" s="546"/>
      <c r="U117" s="533"/>
    </row>
    <row r="118" spans="1:21" x14ac:dyDescent="0.3">
      <c r="A118" s="298"/>
      <c r="B118" s="542"/>
      <c r="C118" s="562" t="s">
        <v>422</v>
      </c>
      <c r="D118" s="566"/>
      <c r="E118" s="567"/>
      <c r="F118" s="568"/>
      <c r="G118" s="542"/>
      <c r="H118" s="566"/>
      <c r="I118" s="567"/>
      <c r="J118" s="568"/>
      <c r="K118" s="542"/>
      <c r="L118" s="566"/>
      <c r="M118" s="567"/>
      <c r="N118" s="568"/>
      <c r="O118" s="542"/>
      <c r="P118" s="566"/>
      <c r="Q118" s="567"/>
      <c r="R118" s="568"/>
      <c r="S118" s="544"/>
      <c r="T118" s="546"/>
      <c r="U118" s="533"/>
    </row>
    <row r="119" spans="1:21" ht="17.25" thickBot="1" x14ac:dyDescent="0.35">
      <c r="A119" s="298"/>
      <c r="B119" s="542"/>
      <c r="C119" s="556" t="s">
        <v>437</v>
      </c>
      <c r="D119" s="571"/>
      <c r="E119" s="579"/>
      <c r="F119" s="580"/>
      <c r="G119" s="542"/>
      <c r="H119" s="571"/>
      <c r="I119" s="579"/>
      <c r="J119" s="580"/>
      <c r="K119" s="542"/>
      <c r="L119" s="571"/>
      <c r="M119" s="579"/>
      <c r="N119" s="580"/>
      <c r="O119" s="542"/>
      <c r="P119" s="571"/>
      <c r="Q119" s="579"/>
      <c r="R119" s="580"/>
      <c r="S119" s="544"/>
      <c r="T119" s="546"/>
      <c r="U119" s="533"/>
    </row>
    <row r="120" spans="1:21" ht="17.25" thickBot="1" x14ac:dyDescent="0.35">
      <c r="A120" s="298"/>
      <c r="B120" s="542"/>
      <c r="C120" s="544"/>
      <c r="D120" s="544"/>
      <c r="E120" s="544"/>
      <c r="F120" s="544"/>
      <c r="G120" s="544"/>
      <c r="H120" s="544"/>
      <c r="I120" s="544"/>
      <c r="J120" s="544"/>
      <c r="K120" s="544"/>
      <c r="L120" s="544"/>
      <c r="M120" s="544"/>
      <c r="N120" s="544"/>
      <c r="O120" s="544"/>
      <c r="P120" s="544"/>
      <c r="Q120" s="544"/>
      <c r="R120" s="550"/>
      <c r="S120" s="544"/>
      <c r="T120" s="546"/>
      <c r="U120" s="533"/>
    </row>
    <row r="121" spans="1:21" ht="18" thickBot="1" x14ac:dyDescent="0.4">
      <c r="A121" s="298"/>
      <c r="B121" s="542"/>
      <c r="C121" s="589" t="s">
        <v>65</v>
      </c>
      <c r="D121" s="1000" t="s">
        <v>582</v>
      </c>
      <c r="E121" s="1001"/>
      <c r="F121" s="1002"/>
      <c r="G121" s="544"/>
      <c r="H121" s="1000" t="s">
        <v>583</v>
      </c>
      <c r="I121" s="1001"/>
      <c r="J121" s="1002"/>
      <c r="K121" s="544"/>
      <c r="L121" s="1000" t="s">
        <v>584</v>
      </c>
      <c r="M121" s="1001"/>
      <c r="N121" s="1002"/>
      <c r="O121" s="544"/>
      <c r="P121" s="1000" t="s">
        <v>585</v>
      </c>
      <c r="Q121" s="1001"/>
      <c r="R121" s="1002"/>
      <c r="S121" s="544"/>
      <c r="T121" s="546"/>
      <c r="U121" s="533"/>
    </row>
    <row r="122" spans="1:21" ht="17.25" x14ac:dyDescent="0.35">
      <c r="A122" s="298"/>
      <c r="B122" s="542"/>
      <c r="C122" s="553"/>
      <c r="D122" s="1009" t="s">
        <v>48</v>
      </c>
      <c r="E122" s="1010"/>
      <c r="F122" s="1011"/>
      <c r="G122" s="542"/>
      <c r="H122" s="1009" t="s">
        <v>48</v>
      </c>
      <c r="I122" s="1010"/>
      <c r="J122" s="1011"/>
      <c r="K122" s="542"/>
      <c r="L122" s="1009" t="s">
        <v>48</v>
      </c>
      <c r="M122" s="1010"/>
      <c r="N122" s="1011"/>
      <c r="O122" s="542"/>
      <c r="P122" s="1009" t="s">
        <v>48</v>
      </c>
      <c r="Q122" s="1010"/>
      <c r="R122" s="1011"/>
      <c r="S122" s="544"/>
      <c r="T122" s="546"/>
      <c r="U122" s="533"/>
    </row>
    <row r="123" spans="1:21" ht="17.25" x14ac:dyDescent="0.35">
      <c r="A123" s="298"/>
      <c r="B123" s="542"/>
      <c r="C123" s="542"/>
      <c r="D123" s="581" t="s">
        <v>56</v>
      </c>
      <c r="E123" s="582" t="s">
        <v>57</v>
      </c>
      <c r="F123" s="561" t="s">
        <v>58</v>
      </c>
      <c r="G123" s="542"/>
      <c r="H123" s="581" t="s">
        <v>56</v>
      </c>
      <c r="I123" s="582" t="s">
        <v>57</v>
      </c>
      <c r="J123" s="561" t="s">
        <v>58</v>
      </c>
      <c r="K123" s="542"/>
      <c r="L123" s="581" t="s">
        <v>56</v>
      </c>
      <c r="M123" s="582" t="s">
        <v>57</v>
      </c>
      <c r="N123" s="561" t="s">
        <v>58</v>
      </c>
      <c r="O123" s="542"/>
      <c r="P123" s="581" t="s">
        <v>56</v>
      </c>
      <c r="Q123" s="582" t="s">
        <v>57</v>
      </c>
      <c r="R123" s="561" t="s">
        <v>58</v>
      </c>
      <c r="S123" s="544"/>
      <c r="T123" s="546"/>
      <c r="U123" s="533"/>
    </row>
    <row r="124" spans="1:21" x14ac:dyDescent="0.3">
      <c r="A124" s="298"/>
      <c r="B124" s="542"/>
      <c r="C124" s="583" t="s">
        <v>66</v>
      </c>
      <c r="D124" s="566"/>
      <c r="E124" s="567"/>
      <c r="F124" s="568"/>
      <c r="G124" s="542"/>
      <c r="H124" s="566"/>
      <c r="I124" s="567"/>
      <c r="J124" s="568"/>
      <c r="K124" s="542"/>
      <c r="L124" s="566"/>
      <c r="M124" s="567"/>
      <c r="N124" s="568"/>
      <c r="O124" s="542"/>
      <c r="P124" s="566"/>
      <c r="Q124" s="567"/>
      <c r="R124" s="568"/>
      <c r="S124" s="544"/>
      <c r="T124" s="546"/>
      <c r="U124" s="533"/>
    </row>
    <row r="125" spans="1:21" x14ac:dyDescent="0.3">
      <c r="A125" s="298"/>
      <c r="B125" s="542"/>
      <c r="C125" s="583" t="s">
        <v>67</v>
      </c>
      <c r="D125" s="566"/>
      <c r="E125" s="567"/>
      <c r="F125" s="568"/>
      <c r="G125" s="542"/>
      <c r="H125" s="566"/>
      <c r="I125" s="567"/>
      <c r="J125" s="568"/>
      <c r="K125" s="542"/>
      <c r="L125" s="566"/>
      <c r="M125" s="567"/>
      <c r="N125" s="568"/>
      <c r="O125" s="542"/>
      <c r="P125" s="566"/>
      <c r="Q125" s="567"/>
      <c r="R125" s="568"/>
      <c r="S125" s="544"/>
      <c r="T125" s="546"/>
      <c r="U125" s="533"/>
    </row>
    <row r="126" spans="1:21" x14ac:dyDescent="0.3">
      <c r="A126" s="298"/>
      <c r="B126" s="542"/>
      <c r="C126" s="583" t="s">
        <v>68</v>
      </c>
      <c r="D126" s="566"/>
      <c r="E126" s="567"/>
      <c r="F126" s="568"/>
      <c r="G126" s="542"/>
      <c r="H126" s="566"/>
      <c r="I126" s="567"/>
      <c r="J126" s="568"/>
      <c r="K126" s="542"/>
      <c r="L126" s="566"/>
      <c r="M126" s="567"/>
      <c r="N126" s="568"/>
      <c r="O126" s="542"/>
      <c r="P126" s="566"/>
      <c r="Q126" s="567"/>
      <c r="R126" s="568"/>
      <c r="S126" s="544"/>
      <c r="T126" s="546"/>
      <c r="U126" s="533"/>
    </row>
    <row r="127" spans="1:21" x14ac:dyDescent="0.3">
      <c r="A127" s="298"/>
      <c r="B127" s="542"/>
      <c r="C127" s="583" t="s">
        <v>69</v>
      </c>
      <c r="D127" s="566"/>
      <c r="E127" s="567"/>
      <c r="F127" s="568"/>
      <c r="G127" s="542"/>
      <c r="H127" s="566"/>
      <c r="I127" s="567"/>
      <c r="J127" s="568"/>
      <c r="K127" s="542"/>
      <c r="L127" s="566"/>
      <c r="M127" s="567"/>
      <c r="N127" s="568"/>
      <c r="O127" s="542"/>
      <c r="P127" s="566"/>
      <c r="Q127" s="567"/>
      <c r="R127" s="568"/>
      <c r="S127" s="544"/>
      <c r="T127" s="546"/>
      <c r="U127" s="533"/>
    </row>
    <row r="128" spans="1:21" x14ac:dyDescent="0.3">
      <c r="A128" s="298"/>
      <c r="B128" s="542"/>
      <c r="C128" s="583" t="s">
        <v>70</v>
      </c>
      <c r="D128" s="566"/>
      <c r="E128" s="567"/>
      <c r="F128" s="568"/>
      <c r="G128" s="542"/>
      <c r="H128" s="566"/>
      <c r="I128" s="567"/>
      <c r="J128" s="568"/>
      <c r="K128" s="542"/>
      <c r="L128" s="566"/>
      <c r="M128" s="567"/>
      <c r="N128" s="568"/>
      <c r="O128" s="542"/>
      <c r="P128" s="566"/>
      <c r="Q128" s="567"/>
      <c r="R128" s="568"/>
      <c r="S128" s="544"/>
      <c r="T128" s="546"/>
      <c r="U128" s="533"/>
    </row>
    <row r="129" spans="1:21" x14ac:dyDescent="0.3">
      <c r="A129" s="298"/>
      <c r="B129" s="542"/>
      <c r="C129" s="583" t="s">
        <v>71</v>
      </c>
      <c r="D129" s="566"/>
      <c r="E129" s="567"/>
      <c r="F129" s="568"/>
      <c r="G129" s="542"/>
      <c r="H129" s="566"/>
      <c r="I129" s="567"/>
      <c r="J129" s="568"/>
      <c r="K129" s="542"/>
      <c r="L129" s="566"/>
      <c r="M129" s="567"/>
      <c r="N129" s="568"/>
      <c r="O129" s="542"/>
      <c r="P129" s="566"/>
      <c r="Q129" s="567"/>
      <c r="R129" s="568"/>
      <c r="S129" s="544"/>
      <c r="T129" s="546"/>
      <c r="U129" s="533"/>
    </row>
    <row r="130" spans="1:21" x14ac:dyDescent="0.3">
      <c r="A130" s="298"/>
      <c r="B130" s="542"/>
      <c r="C130" s="583" t="s">
        <v>72</v>
      </c>
      <c r="D130" s="566"/>
      <c r="E130" s="567"/>
      <c r="F130" s="568"/>
      <c r="G130" s="542"/>
      <c r="H130" s="566"/>
      <c r="I130" s="567"/>
      <c r="J130" s="568"/>
      <c r="K130" s="542"/>
      <c r="L130" s="566"/>
      <c r="M130" s="567"/>
      <c r="N130" s="568"/>
      <c r="O130" s="542"/>
      <c r="P130" s="566"/>
      <c r="Q130" s="567"/>
      <c r="R130" s="568"/>
      <c r="S130" s="544"/>
      <c r="T130" s="546"/>
      <c r="U130" s="533"/>
    </row>
    <row r="131" spans="1:21" x14ac:dyDescent="0.3">
      <c r="A131" s="298"/>
      <c r="B131" s="542"/>
      <c r="C131" s="583" t="s">
        <v>73</v>
      </c>
      <c r="D131" s="566"/>
      <c r="E131" s="567"/>
      <c r="F131" s="568"/>
      <c r="G131" s="542"/>
      <c r="H131" s="566"/>
      <c r="I131" s="567"/>
      <c r="J131" s="568"/>
      <c r="K131" s="542"/>
      <c r="L131" s="566"/>
      <c r="M131" s="567"/>
      <c r="N131" s="568"/>
      <c r="O131" s="542"/>
      <c r="P131" s="566"/>
      <c r="Q131" s="567"/>
      <c r="R131" s="568"/>
      <c r="S131" s="544"/>
      <c r="T131" s="546"/>
      <c r="U131" s="533"/>
    </row>
    <row r="132" spans="1:21" x14ac:dyDescent="0.3">
      <c r="A132" s="298"/>
      <c r="B132" s="542"/>
      <c r="C132" s="583" t="s">
        <v>74</v>
      </c>
      <c r="D132" s="566"/>
      <c r="E132" s="567"/>
      <c r="F132" s="568"/>
      <c r="G132" s="542"/>
      <c r="H132" s="566"/>
      <c r="I132" s="567"/>
      <c r="J132" s="568"/>
      <c r="K132" s="542"/>
      <c r="L132" s="566"/>
      <c r="M132" s="567"/>
      <c r="N132" s="568"/>
      <c r="O132" s="542"/>
      <c r="P132" s="566"/>
      <c r="Q132" s="567"/>
      <c r="R132" s="568"/>
      <c r="S132" s="544"/>
      <c r="T132" s="546"/>
      <c r="U132" s="533"/>
    </row>
    <row r="133" spans="1:21" x14ac:dyDescent="0.3">
      <c r="A133" s="298"/>
      <c r="B133" s="542"/>
      <c r="C133" s="583" t="s">
        <v>75</v>
      </c>
      <c r="D133" s="566"/>
      <c r="E133" s="567"/>
      <c r="F133" s="568"/>
      <c r="G133" s="542"/>
      <c r="H133" s="566"/>
      <c r="I133" s="567"/>
      <c r="J133" s="568"/>
      <c r="K133" s="542"/>
      <c r="L133" s="566"/>
      <c r="M133" s="567"/>
      <c r="N133" s="568"/>
      <c r="O133" s="542"/>
      <c r="P133" s="566"/>
      <c r="Q133" s="567"/>
      <c r="R133" s="568"/>
      <c r="S133" s="544"/>
      <c r="T133" s="546"/>
      <c r="U133" s="533"/>
    </row>
    <row r="134" spans="1:21" ht="17.25" thickBot="1" x14ac:dyDescent="0.35">
      <c r="A134" s="298"/>
      <c r="B134" s="542"/>
      <c r="C134" s="584" t="s">
        <v>76</v>
      </c>
      <c r="D134" s="571"/>
      <c r="E134" s="579"/>
      <c r="F134" s="580"/>
      <c r="G134" s="542"/>
      <c r="H134" s="571"/>
      <c r="I134" s="579"/>
      <c r="J134" s="580"/>
      <c r="K134" s="542"/>
      <c r="L134" s="571"/>
      <c r="M134" s="579"/>
      <c r="N134" s="580"/>
      <c r="O134" s="542"/>
      <c r="P134" s="571"/>
      <c r="Q134" s="579"/>
      <c r="R134" s="580"/>
      <c r="S134" s="544"/>
      <c r="T134" s="546"/>
      <c r="U134" s="533"/>
    </row>
    <row r="135" spans="1:21" ht="17.25" thickBot="1" x14ac:dyDescent="0.35">
      <c r="A135" s="298"/>
      <c r="B135" s="542"/>
      <c r="C135" s="544"/>
      <c r="D135" s="544"/>
      <c r="E135" s="544"/>
      <c r="F135" s="544"/>
      <c r="G135" s="544"/>
      <c r="H135" s="544"/>
      <c r="I135" s="544"/>
      <c r="J135" s="544"/>
      <c r="K135" s="544"/>
      <c r="L135" s="544"/>
      <c r="M135" s="544"/>
      <c r="N135" s="544"/>
      <c r="O135" s="544"/>
      <c r="P135" s="544"/>
      <c r="Q135" s="544"/>
      <c r="R135" s="550"/>
      <c r="S135" s="544"/>
      <c r="T135" s="546"/>
      <c r="U135" s="533"/>
    </row>
    <row r="136" spans="1:21" ht="18" thickBot="1" x14ac:dyDescent="0.4">
      <c r="A136" s="298"/>
      <c r="B136" s="542"/>
      <c r="C136" s="589" t="s">
        <v>77</v>
      </c>
      <c r="D136" s="1000" t="s">
        <v>582</v>
      </c>
      <c r="E136" s="1001"/>
      <c r="F136" s="1002"/>
      <c r="G136" s="544"/>
      <c r="H136" s="1000" t="s">
        <v>583</v>
      </c>
      <c r="I136" s="1001"/>
      <c r="J136" s="1002"/>
      <c r="K136" s="544"/>
      <c r="L136" s="1000" t="s">
        <v>584</v>
      </c>
      <c r="M136" s="1001"/>
      <c r="N136" s="1002"/>
      <c r="O136" s="544"/>
      <c r="P136" s="1000" t="s">
        <v>585</v>
      </c>
      <c r="Q136" s="1001"/>
      <c r="R136" s="1002"/>
      <c r="S136" s="544"/>
      <c r="T136" s="546"/>
      <c r="U136" s="533"/>
    </row>
    <row r="137" spans="1:21" ht="17.25" x14ac:dyDescent="0.35">
      <c r="A137" s="298"/>
      <c r="B137" s="542"/>
      <c r="C137" s="553"/>
      <c r="D137" s="1006" t="s">
        <v>48</v>
      </c>
      <c r="E137" s="1007"/>
      <c r="F137" s="1008"/>
      <c r="G137" s="542"/>
      <c r="H137" s="1006" t="s">
        <v>48</v>
      </c>
      <c r="I137" s="1007"/>
      <c r="J137" s="1008"/>
      <c r="K137" s="542"/>
      <c r="L137" s="1006" t="s">
        <v>48</v>
      </c>
      <c r="M137" s="1007"/>
      <c r="N137" s="1008"/>
      <c r="O137" s="542"/>
      <c r="P137" s="1006" t="s">
        <v>48</v>
      </c>
      <c r="Q137" s="1007"/>
      <c r="R137" s="1008"/>
      <c r="S137" s="544"/>
      <c r="T137" s="546"/>
      <c r="U137" s="533"/>
    </row>
    <row r="138" spans="1:21" ht="17.25" x14ac:dyDescent="0.35">
      <c r="A138" s="298"/>
      <c r="B138" s="542"/>
      <c r="C138" s="542"/>
      <c r="D138" s="581" t="s">
        <v>56</v>
      </c>
      <c r="E138" s="582" t="s">
        <v>57</v>
      </c>
      <c r="F138" s="561" t="s">
        <v>58</v>
      </c>
      <c r="G138" s="542"/>
      <c r="H138" s="581" t="s">
        <v>56</v>
      </c>
      <c r="I138" s="582" t="s">
        <v>57</v>
      </c>
      <c r="J138" s="561" t="s">
        <v>58</v>
      </c>
      <c r="K138" s="542"/>
      <c r="L138" s="581" t="s">
        <v>56</v>
      </c>
      <c r="M138" s="582" t="s">
        <v>57</v>
      </c>
      <c r="N138" s="561" t="s">
        <v>58</v>
      </c>
      <c r="O138" s="542"/>
      <c r="P138" s="581" t="s">
        <v>56</v>
      </c>
      <c r="Q138" s="582" t="s">
        <v>57</v>
      </c>
      <c r="R138" s="561" t="s">
        <v>58</v>
      </c>
      <c r="S138" s="544"/>
      <c r="T138" s="546"/>
      <c r="U138" s="533"/>
    </row>
    <row r="139" spans="1:21" x14ac:dyDescent="0.3">
      <c r="A139" s="298"/>
      <c r="B139" s="542"/>
      <c r="C139" s="583" t="s">
        <v>306</v>
      </c>
      <c r="D139" s="566"/>
      <c r="E139" s="567"/>
      <c r="F139" s="568"/>
      <c r="G139" s="542"/>
      <c r="H139" s="566"/>
      <c r="I139" s="567"/>
      <c r="J139" s="568"/>
      <c r="K139" s="542"/>
      <c r="L139" s="566"/>
      <c r="M139" s="567"/>
      <c r="N139" s="568"/>
      <c r="O139" s="542"/>
      <c r="P139" s="566"/>
      <c r="Q139" s="567"/>
      <c r="R139" s="568"/>
      <c r="S139" s="544"/>
      <c r="T139" s="546"/>
      <c r="U139" s="533"/>
    </row>
    <row r="140" spans="1:21" x14ac:dyDescent="0.3">
      <c r="A140" s="298"/>
      <c r="B140" s="542"/>
      <c r="C140" s="583" t="s">
        <v>307</v>
      </c>
      <c r="D140" s="566"/>
      <c r="E140" s="567"/>
      <c r="F140" s="568"/>
      <c r="G140" s="542"/>
      <c r="H140" s="566"/>
      <c r="I140" s="567"/>
      <c r="J140" s="568"/>
      <c r="K140" s="542"/>
      <c r="L140" s="566"/>
      <c r="M140" s="567"/>
      <c r="N140" s="568"/>
      <c r="O140" s="542"/>
      <c r="P140" s="566"/>
      <c r="Q140" s="567"/>
      <c r="R140" s="568"/>
      <c r="S140" s="544"/>
      <c r="T140" s="546"/>
      <c r="U140" s="533"/>
    </row>
    <row r="141" spans="1:21" x14ac:dyDescent="0.3">
      <c r="A141" s="298"/>
      <c r="B141" s="542"/>
      <c r="C141" s="583" t="s">
        <v>80</v>
      </c>
      <c r="D141" s="566"/>
      <c r="E141" s="567"/>
      <c r="F141" s="568"/>
      <c r="G141" s="542"/>
      <c r="H141" s="566"/>
      <c r="I141" s="567"/>
      <c r="J141" s="568"/>
      <c r="K141" s="542"/>
      <c r="L141" s="566"/>
      <c r="M141" s="567"/>
      <c r="N141" s="568"/>
      <c r="O141" s="542"/>
      <c r="P141" s="566"/>
      <c r="Q141" s="567"/>
      <c r="R141" s="568"/>
      <c r="S141" s="544"/>
      <c r="T141" s="546"/>
      <c r="U141" s="533"/>
    </row>
    <row r="142" spans="1:21" x14ac:dyDescent="0.3">
      <c r="A142" s="298"/>
      <c r="B142" s="542"/>
      <c r="C142" s="583" t="s">
        <v>81</v>
      </c>
      <c r="D142" s="566"/>
      <c r="E142" s="567"/>
      <c r="F142" s="568"/>
      <c r="G142" s="542"/>
      <c r="H142" s="566"/>
      <c r="I142" s="567"/>
      <c r="J142" s="568"/>
      <c r="K142" s="542"/>
      <c r="L142" s="566"/>
      <c r="M142" s="567"/>
      <c r="N142" s="568"/>
      <c r="O142" s="542"/>
      <c r="P142" s="566"/>
      <c r="Q142" s="567"/>
      <c r="R142" s="568"/>
      <c r="S142" s="544"/>
      <c r="T142" s="546"/>
      <c r="U142" s="533"/>
    </row>
    <row r="143" spans="1:21" ht="17.25" thickBot="1" x14ac:dyDescent="0.35">
      <c r="A143" s="298"/>
      <c r="B143" s="542"/>
      <c r="C143" s="584" t="s">
        <v>438</v>
      </c>
      <c r="D143" s="571"/>
      <c r="E143" s="579"/>
      <c r="F143" s="580"/>
      <c r="G143" s="542"/>
      <c r="H143" s="571"/>
      <c r="I143" s="579"/>
      <c r="J143" s="580"/>
      <c r="K143" s="542"/>
      <c r="L143" s="571"/>
      <c r="M143" s="579"/>
      <c r="N143" s="580"/>
      <c r="O143" s="542"/>
      <c r="P143" s="571"/>
      <c r="Q143" s="579"/>
      <c r="R143" s="580"/>
      <c r="S143" s="544"/>
      <c r="T143" s="546"/>
      <c r="U143" s="533"/>
    </row>
    <row r="144" spans="1:21" ht="17.25" thickBot="1" x14ac:dyDescent="0.35">
      <c r="A144" s="298"/>
      <c r="B144" s="542"/>
      <c r="C144" s="544"/>
      <c r="D144" s="544"/>
      <c r="E144" s="544"/>
      <c r="F144" s="544"/>
      <c r="G144" s="544"/>
      <c r="H144" s="544"/>
      <c r="I144" s="544"/>
      <c r="J144" s="544"/>
      <c r="K144" s="544"/>
      <c r="L144" s="544"/>
      <c r="M144" s="544"/>
      <c r="N144" s="544"/>
      <c r="O144" s="544"/>
      <c r="P144" s="544"/>
      <c r="Q144" s="544"/>
      <c r="R144" s="550"/>
      <c r="S144" s="544"/>
      <c r="T144" s="546"/>
      <c r="U144" s="533"/>
    </row>
    <row r="145" spans="1:21" ht="18" thickBot="1" x14ac:dyDescent="0.4">
      <c r="A145" s="298"/>
      <c r="B145" s="542"/>
      <c r="C145" s="589" t="s">
        <v>82</v>
      </c>
      <c r="D145" s="1000" t="s">
        <v>582</v>
      </c>
      <c r="E145" s="1001"/>
      <c r="F145" s="1002"/>
      <c r="G145" s="544"/>
      <c r="H145" s="1000" t="s">
        <v>583</v>
      </c>
      <c r="I145" s="1001"/>
      <c r="J145" s="1002"/>
      <c r="K145" s="544"/>
      <c r="L145" s="1000" t="s">
        <v>584</v>
      </c>
      <c r="M145" s="1001"/>
      <c r="N145" s="1002"/>
      <c r="O145" s="544"/>
      <c r="P145" s="1000" t="s">
        <v>585</v>
      </c>
      <c r="Q145" s="1001"/>
      <c r="R145" s="1002"/>
      <c r="S145" s="544"/>
      <c r="T145" s="546"/>
      <c r="U145" s="533"/>
    </row>
    <row r="146" spans="1:21" ht="17.25" x14ac:dyDescent="0.35">
      <c r="A146" s="298"/>
      <c r="B146" s="542"/>
      <c r="C146" s="553"/>
      <c r="D146" s="1006" t="s">
        <v>48</v>
      </c>
      <c r="E146" s="1007"/>
      <c r="F146" s="1008"/>
      <c r="G146" s="542"/>
      <c r="H146" s="1006" t="s">
        <v>48</v>
      </c>
      <c r="I146" s="1007"/>
      <c r="J146" s="1008"/>
      <c r="K146" s="542"/>
      <c r="L146" s="1006" t="s">
        <v>48</v>
      </c>
      <c r="M146" s="1007"/>
      <c r="N146" s="1008"/>
      <c r="O146" s="542"/>
      <c r="P146" s="1006" t="s">
        <v>48</v>
      </c>
      <c r="Q146" s="1007"/>
      <c r="R146" s="1008"/>
      <c r="S146" s="544"/>
      <c r="T146" s="546"/>
      <c r="U146" s="533"/>
    </row>
    <row r="147" spans="1:21" ht="17.25" x14ac:dyDescent="0.35">
      <c r="A147" s="298"/>
      <c r="B147" s="542"/>
      <c r="C147" s="542"/>
      <c r="D147" s="581" t="s">
        <v>56</v>
      </c>
      <c r="E147" s="582" t="s">
        <v>57</v>
      </c>
      <c r="F147" s="561" t="s">
        <v>58</v>
      </c>
      <c r="G147" s="542"/>
      <c r="H147" s="581" t="s">
        <v>56</v>
      </c>
      <c r="I147" s="582" t="s">
        <v>57</v>
      </c>
      <c r="J147" s="561" t="s">
        <v>58</v>
      </c>
      <c r="K147" s="542"/>
      <c r="L147" s="581" t="s">
        <v>56</v>
      </c>
      <c r="M147" s="582" t="s">
        <v>57</v>
      </c>
      <c r="N147" s="561" t="s">
        <v>58</v>
      </c>
      <c r="O147" s="542"/>
      <c r="P147" s="581" t="s">
        <v>56</v>
      </c>
      <c r="Q147" s="582" t="s">
        <v>57</v>
      </c>
      <c r="R147" s="561" t="s">
        <v>58</v>
      </c>
      <c r="S147" s="544"/>
      <c r="T147" s="546"/>
      <c r="U147" s="533"/>
    </row>
    <row r="148" spans="1:21" x14ac:dyDescent="0.3">
      <c r="A148" s="298"/>
      <c r="B148" s="542"/>
      <c r="C148" s="586" t="s">
        <v>83</v>
      </c>
      <c r="D148" s="566"/>
      <c r="E148" s="567"/>
      <c r="F148" s="568"/>
      <c r="G148" s="542"/>
      <c r="H148" s="566"/>
      <c r="I148" s="567"/>
      <c r="J148" s="568"/>
      <c r="K148" s="542"/>
      <c r="L148" s="566"/>
      <c r="M148" s="567"/>
      <c r="N148" s="568"/>
      <c r="O148" s="542"/>
      <c r="P148" s="566"/>
      <c r="Q148" s="567"/>
      <c r="R148" s="568"/>
      <c r="S148" s="544"/>
      <c r="T148" s="546"/>
      <c r="U148" s="533"/>
    </row>
    <row r="149" spans="1:21" x14ac:dyDescent="0.3">
      <c r="A149" s="298"/>
      <c r="B149" s="542"/>
      <c r="C149" s="586" t="s">
        <v>84</v>
      </c>
      <c r="D149" s="566"/>
      <c r="E149" s="567"/>
      <c r="F149" s="568"/>
      <c r="G149" s="542"/>
      <c r="H149" s="566"/>
      <c r="I149" s="567"/>
      <c r="J149" s="568"/>
      <c r="K149" s="542"/>
      <c r="L149" s="566"/>
      <c r="M149" s="567"/>
      <c r="N149" s="568"/>
      <c r="O149" s="542"/>
      <c r="P149" s="566"/>
      <c r="Q149" s="567"/>
      <c r="R149" s="568"/>
      <c r="S149" s="544"/>
      <c r="T149" s="546"/>
      <c r="U149" s="533"/>
    </row>
    <row r="150" spans="1:21" x14ac:dyDescent="0.3">
      <c r="A150" s="298"/>
      <c r="B150" s="542"/>
      <c r="C150" s="586" t="s">
        <v>85</v>
      </c>
      <c r="D150" s="566"/>
      <c r="E150" s="567"/>
      <c r="F150" s="568"/>
      <c r="G150" s="542"/>
      <c r="H150" s="566"/>
      <c r="I150" s="567"/>
      <c r="J150" s="568"/>
      <c r="K150" s="542"/>
      <c r="L150" s="566"/>
      <c r="M150" s="567"/>
      <c r="N150" s="568"/>
      <c r="O150" s="542"/>
      <c r="P150" s="566"/>
      <c r="Q150" s="567"/>
      <c r="R150" s="568"/>
      <c r="S150" s="544"/>
      <c r="T150" s="546"/>
      <c r="U150" s="533"/>
    </row>
    <row r="151" spans="1:21" x14ac:dyDescent="0.3">
      <c r="A151" s="298"/>
      <c r="B151" s="542"/>
      <c r="C151" s="586" t="s">
        <v>86</v>
      </c>
      <c r="D151" s="566"/>
      <c r="E151" s="567"/>
      <c r="F151" s="568"/>
      <c r="G151" s="542"/>
      <c r="H151" s="566"/>
      <c r="I151" s="567"/>
      <c r="J151" s="568"/>
      <c r="K151" s="542"/>
      <c r="L151" s="566"/>
      <c r="M151" s="567"/>
      <c r="N151" s="568"/>
      <c r="O151" s="542"/>
      <c r="P151" s="566"/>
      <c r="Q151" s="567"/>
      <c r="R151" s="568"/>
      <c r="S151" s="544"/>
      <c r="T151" s="546"/>
      <c r="U151" s="533"/>
    </row>
    <row r="152" spans="1:21" x14ac:dyDescent="0.3">
      <c r="A152" s="298"/>
      <c r="B152" s="542"/>
      <c r="C152" s="587" t="s">
        <v>87</v>
      </c>
      <c r="D152" s="566"/>
      <c r="E152" s="567"/>
      <c r="F152" s="568"/>
      <c r="G152" s="542"/>
      <c r="H152" s="566"/>
      <c r="I152" s="567"/>
      <c r="J152" s="568"/>
      <c r="K152" s="542"/>
      <c r="L152" s="566"/>
      <c r="M152" s="567"/>
      <c r="N152" s="568"/>
      <c r="O152" s="542"/>
      <c r="P152" s="566"/>
      <c r="Q152" s="567"/>
      <c r="R152" s="568"/>
      <c r="S152" s="544"/>
      <c r="T152" s="546"/>
      <c r="U152" s="533"/>
    </row>
    <row r="153" spans="1:21" x14ac:dyDescent="0.3">
      <c r="A153" s="298"/>
      <c r="B153" s="542"/>
      <c r="C153" s="586" t="s">
        <v>88</v>
      </c>
      <c r="D153" s="566"/>
      <c r="E153" s="567"/>
      <c r="F153" s="568"/>
      <c r="G153" s="542"/>
      <c r="H153" s="566"/>
      <c r="I153" s="567"/>
      <c r="J153" s="568"/>
      <c r="K153" s="542"/>
      <c r="L153" s="566"/>
      <c r="M153" s="567"/>
      <c r="N153" s="568"/>
      <c r="O153" s="542"/>
      <c r="P153" s="566"/>
      <c r="Q153" s="567"/>
      <c r="R153" s="568"/>
      <c r="S153" s="544"/>
      <c r="T153" s="546"/>
      <c r="U153" s="533"/>
    </row>
    <row r="154" spans="1:21" x14ac:dyDescent="0.3">
      <c r="A154" s="298"/>
      <c r="B154" s="542"/>
      <c r="C154" s="586" t="s">
        <v>89</v>
      </c>
      <c r="D154" s="566"/>
      <c r="E154" s="567"/>
      <c r="F154" s="568"/>
      <c r="G154" s="542"/>
      <c r="H154" s="566"/>
      <c r="I154" s="567"/>
      <c r="J154" s="568"/>
      <c r="K154" s="542"/>
      <c r="L154" s="566"/>
      <c r="M154" s="567"/>
      <c r="N154" s="568"/>
      <c r="O154" s="542"/>
      <c r="P154" s="566"/>
      <c r="Q154" s="567"/>
      <c r="R154" s="568"/>
      <c r="S154" s="544"/>
      <c r="T154" s="546"/>
      <c r="U154" s="533"/>
    </row>
    <row r="155" spans="1:21" ht="17.25" thickBot="1" x14ac:dyDescent="0.35">
      <c r="A155" s="298"/>
      <c r="B155" s="542"/>
      <c r="C155" s="588" t="s">
        <v>90</v>
      </c>
      <c r="D155" s="571"/>
      <c r="E155" s="579"/>
      <c r="F155" s="580"/>
      <c r="G155" s="542"/>
      <c r="H155" s="571"/>
      <c r="I155" s="579"/>
      <c r="J155" s="580"/>
      <c r="K155" s="542"/>
      <c r="L155" s="571"/>
      <c r="M155" s="579"/>
      <c r="N155" s="580"/>
      <c r="O155" s="542"/>
      <c r="P155" s="571"/>
      <c r="Q155" s="579"/>
      <c r="R155" s="580"/>
      <c r="S155" s="544"/>
      <c r="T155" s="546"/>
      <c r="U155" s="533"/>
    </row>
    <row r="156" spans="1:21" ht="17.25" thickBot="1" x14ac:dyDescent="0.35">
      <c r="A156" s="298"/>
      <c r="B156" s="542"/>
      <c r="C156" s="544"/>
      <c r="D156" s="544"/>
      <c r="E156" s="544"/>
      <c r="F156" s="544"/>
      <c r="G156" s="544"/>
      <c r="H156" s="544"/>
      <c r="I156" s="544"/>
      <c r="J156" s="544"/>
      <c r="K156" s="544"/>
      <c r="L156" s="544"/>
      <c r="M156" s="544"/>
      <c r="N156" s="544"/>
      <c r="O156" s="544"/>
      <c r="P156" s="544"/>
      <c r="Q156" s="544"/>
      <c r="R156" s="550"/>
      <c r="S156" s="544"/>
      <c r="T156" s="546"/>
      <c r="U156" s="533"/>
    </row>
    <row r="157" spans="1:21" ht="18" thickBot="1" x14ac:dyDescent="0.4">
      <c r="A157" s="298"/>
      <c r="B157" s="542"/>
      <c r="C157" s="589" t="s">
        <v>196</v>
      </c>
      <c r="D157" s="1000" t="s">
        <v>582</v>
      </c>
      <c r="E157" s="1001"/>
      <c r="F157" s="1002"/>
      <c r="G157" s="544"/>
      <c r="H157" s="1000" t="s">
        <v>583</v>
      </c>
      <c r="I157" s="1001"/>
      <c r="J157" s="1002"/>
      <c r="K157" s="544"/>
      <c r="L157" s="1000" t="s">
        <v>584</v>
      </c>
      <c r="M157" s="1001"/>
      <c r="N157" s="1002"/>
      <c r="O157" s="544"/>
      <c r="P157" s="1000" t="s">
        <v>585</v>
      </c>
      <c r="Q157" s="1001"/>
      <c r="R157" s="1002"/>
      <c r="S157" s="544"/>
      <c r="T157" s="546"/>
      <c r="U157" s="533"/>
    </row>
    <row r="158" spans="1:21" ht="17.25" x14ac:dyDescent="0.35">
      <c r="A158" s="298"/>
      <c r="B158" s="542"/>
      <c r="C158" s="553"/>
      <c r="D158" s="1006" t="s">
        <v>48</v>
      </c>
      <c r="E158" s="1007"/>
      <c r="F158" s="1008"/>
      <c r="G158" s="544"/>
      <c r="H158" s="1006" t="s">
        <v>48</v>
      </c>
      <c r="I158" s="1007"/>
      <c r="J158" s="1008"/>
      <c r="K158" s="544"/>
      <c r="L158" s="1006" t="s">
        <v>48</v>
      </c>
      <c r="M158" s="1007"/>
      <c r="N158" s="1008"/>
      <c r="O158" s="544"/>
      <c r="P158" s="1006" t="s">
        <v>48</v>
      </c>
      <c r="Q158" s="1007"/>
      <c r="R158" s="1008"/>
      <c r="S158" s="544"/>
      <c r="T158" s="546"/>
      <c r="U158" s="533"/>
    </row>
    <row r="159" spans="1:21" x14ac:dyDescent="0.3">
      <c r="A159" s="298"/>
      <c r="B159" s="542"/>
      <c r="C159" s="586" t="s">
        <v>195</v>
      </c>
      <c r="D159" s="1018"/>
      <c r="E159" s="1019"/>
      <c r="F159" s="1020"/>
      <c r="G159" s="544"/>
      <c r="H159" s="1018"/>
      <c r="I159" s="1019"/>
      <c r="J159" s="1020"/>
      <c r="K159" s="544"/>
      <c r="L159" s="1018"/>
      <c r="M159" s="1019"/>
      <c r="N159" s="1020"/>
      <c r="O159" s="544"/>
      <c r="P159" s="1018"/>
      <c r="Q159" s="1019"/>
      <c r="R159" s="1020"/>
      <c r="S159" s="544"/>
      <c r="T159" s="546"/>
      <c r="U159" s="533"/>
    </row>
    <row r="160" spans="1:21" x14ac:dyDescent="0.3">
      <c r="A160" s="298"/>
      <c r="B160" s="542"/>
      <c r="C160" s="586" t="s">
        <v>194</v>
      </c>
      <c r="D160" s="1018"/>
      <c r="E160" s="1019"/>
      <c r="F160" s="1020"/>
      <c r="G160" s="544"/>
      <c r="H160" s="1018"/>
      <c r="I160" s="1019"/>
      <c r="J160" s="1020"/>
      <c r="K160" s="544"/>
      <c r="L160" s="1018"/>
      <c r="M160" s="1019"/>
      <c r="N160" s="1020"/>
      <c r="O160" s="544"/>
      <c r="P160" s="1018"/>
      <c r="Q160" s="1019"/>
      <c r="R160" s="1020"/>
      <c r="S160" s="544"/>
      <c r="T160" s="546"/>
      <c r="U160" s="533"/>
    </row>
    <row r="161" spans="1:21" x14ac:dyDescent="0.3">
      <c r="A161" s="298"/>
      <c r="B161" s="542"/>
      <c r="C161" s="586" t="s">
        <v>308</v>
      </c>
      <c r="D161" s="1018"/>
      <c r="E161" s="1019"/>
      <c r="F161" s="1020"/>
      <c r="G161" s="544"/>
      <c r="H161" s="1018"/>
      <c r="I161" s="1019"/>
      <c r="J161" s="1020"/>
      <c r="K161" s="544"/>
      <c r="L161" s="1018"/>
      <c r="M161" s="1019"/>
      <c r="N161" s="1020"/>
      <c r="O161" s="544"/>
      <c r="P161" s="1018"/>
      <c r="Q161" s="1019"/>
      <c r="R161" s="1020"/>
      <c r="S161" s="544"/>
      <c r="T161" s="546"/>
      <c r="U161" s="533"/>
    </row>
    <row r="162" spans="1:21" x14ac:dyDescent="0.3">
      <c r="A162" s="298"/>
      <c r="B162" s="542"/>
      <c r="C162" s="586" t="s">
        <v>94</v>
      </c>
      <c r="D162" s="1021" t="str">
        <f>IF(D159+D161=0,"",D159+D161)</f>
        <v/>
      </c>
      <c r="E162" s="1022"/>
      <c r="F162" s="1023"/>
      <c r="G162" s="544"/>
      <c r="H162" s="1021" t="str">
        <f>IF(H159+H161=0,"",H159+H161)</f>
        <v/>
      </c>
      <c r="I162" s="1022"/>
      <c r="J162" s="1023"/>
      <c r="K162" s="544"/>
      <c r="L162" s="1021" t="str">
        <f>IF(L159+L161=0,"",L159+L161)</f>
        <v/>
      </c>
      <c r="M162" s="1022"/>
      <c r="N162" s="1023"/>
      <c r="O162" s="544"/>
      <c r="P162" s="1021" t="str">
        <f>IF(P159+P161=0,"",P159+P161)</f>
        <v/>
      </c>
      <c r="Q162" s="1022"/>
      <c r="R162" s="1023"/>
      <c r="S162" s="544"/>
      <c r="T162" s="546"/>
      <c r="U162" s="533"/>
    </row>
    <row r="163" spans="1:21" x14ac:dyDescent="0.3">
      <c r="A163" s="298"/>
      <c r="B163" s="542"/>
      <c r="C163" s="586" t="s">
        <v>193</v>
      </c>
      <c r="D163" s="1018"/>
      <c r="E163" s="1019"/>
      <c r="F163" s="1020"/>
      <c r="G163" s="544"/>
      <c r="H163" s="1018"/>
      <c r="I163" s="1019"/>
      <c r="J163" s="1020"/>
      <c r="K163" s="544"/>
      <c r="L163" s="1018"/>
      <c r="M163" s="1019"/>
      <c r="N163" s="1020"/>
      <c r="O163" s="544"/>
      <c r="P163" s="1018"/>
      <c r="Q163" s="1019"/>
      <c r="R163" s="1020"/>
      <c r="S163" s="544"/>
      <c r="T163" s="546"/>
      <c r="U163" s="533"/>
    </row>
    <row r="164" spans="1:21" x14ac:dyDescent="0.3">
      <c r="A164" s="298"/>
      <c r="B164" s="542"/>
      <c r="C164" s="586" t="s">
        <v>192</v>
      </c>
      <c r="D164" s="1018"/>
      <c r="E164" s="1019"/>
      <c r="F164" s="1020"/>
      <c r="G164" s="544"/>
      <c r="H164" s="1018"/>
      <c r="I164" s="1019"/>
      <c r="J164" s="1020"/>
      <c r="K164" s="544"/>
      <c r="L164" s="1018"/>
      <c r="M164" s="1019"/>
      <c r="N164" s="1020"/>
      <c r="O164" s="544"/>
      <c r="P164" s="1018"/>
      <c r="Q164" s="1019"/>
      <c r="R164" s="1020"/>
      <c r="S164" s="544"/>
      <c r="T164" s="546"/>
      <c r="U164" s="533"/>
    </row>
    <row r="165" spans="1:21" x14ac:dyDescent="0.3">
      <c r="A165" s="298"/>
      <c r="B165" s="542"/>
      <c r="C165" s="586" t="s">
        <v>191</v>
      </c>
      <c r="D165" s="1018"/>
      <c r="E165" s="1019"/>
      <c r="F165" s="1020"/>
      <c r="G165" s="544"/>
      <c r="H165" s="1018"/>
      <c r="I165" s="1019"/>
      <c r="J165" s="1020"/>
      <c r="K165" s="544"/>
      <c r="L165" s="1018"/>
      <c r="M165" s="1019"/>
      <c r="N165" s="1020"/>
      <c r="O165" s="544"/>
      <c r="P165" s="1018"/>
      <c r="Q165" s="1019"/>
      <c r="R165" s="1020"/>
      <c r="S165" s="544"/>
      <c r="T165" s="546"/>
      <c r="U165" s="533"/>
    </row>
    <row r="166" spans="1:21" x14ac:dyDescent="0.3">
      <c r="A166" s="298"/>
      <c r="B166" s="542"/>
      <c r="C166" s="586" t="s">
        <v>308</v>
      </c>
      <c r="D166" s="1018"/>
      <c r="E166" s="1019"/>
      <c r="F166" s="1020"/>
      <c r="G166" s="544"/>
      <c r="H166" s="1018"/>
      <c r="I166" s="1019"/>
      <c r="J166" s="1020"/>
      <c r="K166" s="544"/>
      <c r="L166" s="1018"/>
      <c r="M166" s="1019"/>
      <c r="N166" s="1020"/>
      <c r="O166" s="544"/>
      <c r="P166" s="1018"/>
      <c r="Q166" s="1019"/>
      <c r="R166" s="1020"/>
      <c r="S166" s="544"/>
      <c r="T166" s="546"/>
      <c r="U166" s="533"/>
    </row>
    <row r="167" spans="1:21" ht="17.25" thickBot="1" x14ac:dyDescent="0.35">
      <c r="A167" s="298"/>
      <c r="B167" s="590"/>
      <c r="C167" s="588" t="s">
        <v>94</v>
      </c>
      <c r="D167" s="1024" t="str">
        <f>IF(D164+D166=0,"",D164+D166)</f>
        <v/>
      </c>
      <c r="E167" s="1025"/>
      <c r="F167" s="1026"/>
      <c r="G167" s="572"/>
      <c r="H167" s="1024" t="str">
        <f>IF(H164+H166=0,"",H164+H166)</f>
        <v/>
      </c>
      <c r="I167" s="1025"/>
      <c r="J167" s="1026"/>
      <c r="K167" s="572"/>
      <c r="L167" s="1024" t="str">
        <f>IF(L164+L166=0,"",L164+L166)</f>
        <v/>
      </c>
      <c r="M167" s="1025"/>
      <c r="N167" s="1026"/>
      <c r="O167" s="572"/>
      <c r="P167" s="1024" t="str">
        <f>IF(P164+P166=0,"",P164+P166)</f>
        <v/>
      </c>
      <c r="Q167" s="1025"/>
      <c r="R167" s="1026"/>
      <c r="S167" s="544"/>
      <c r="T167" s="546"/>
      <c r="U167" s="533"/>
    </row>
    <row r="168" spans="1:21" x14ac:dyDescent="0.3">
      <c r="A168" s="298"/>
      <c r="B168" s="544"/>
      <c r="C168" s="544"/>
      <c r="D168" s="544"/>
      <c r="E168" s="544"/>
      <c r="F168" s="544"/>
      <c r="G168" s="544"/>
      <c r="H168" s="544"/>
      <c r="I168" s="544"/>
      <c r="J168" s="544"/>
      <c r="K168" s="544"/>
      <c r="L168" s="544"/>
      <c r="M168" s="544"/>
      <c r="N168" s="544"/>
      <c r="O168" s="544"/>
      <c r="P168" s="544"/>
      <c r="Q168" s="544"/>
      <c r="R168" s="544"/>
      <c r="S168" s="544"/>
      <c r="T168" s="546"/>
      <c r="U168" s="533"/>
    </row>
    <row r="169" spans="1:21" x14ac:dyDescent="0.3">
      <c r="A169" s="299"/>
      <c r="B169" s="546"/>
      <c r="C169" s="538"/>
      <c r="D169" s="546"/>
      <c r="E169" s="546"/>
      <c r="F169" s="546"/>
      <c r="G169" s="546"/>
      <c r="H169" s="546"/>
      <c r="I169" s="546"/>
      <c r="J169" s="546"/>
      <c r="K169" s="546"/>
      <c r="L169" s="546"/>
      <c r="M169" s="546"/>
      <c r="N169" s="546"/>
      <c r="O169" s="546"/>
      <c r="P169" s="546"/>
      <c r="Q169" s="546"/>
      <c r="R169" s="546"/>
      <c r="S169" s="546"/>
      <c r="T169" s="538"/>
      <c r="U169" s="533"/>
    </row>
  </sheetData>
  <sheetProtection password="CA08" sheet="1" objects="1" scenarios="1" selectLockedCells="1"/>
  <mergeCells count="188">
    <mergeCell ref="D167:F167"/>
    <mergeCell ref="H167:J167"/>
    <mergeCell ref="L167:N167"/>
    <mergeCell ref="P167:R167"/>
    <mergeCell ref="D165:F165"/>
    <mergeCell ref="H165:J165"/>
    <mergeCell ref="L165:N165"/>
    <mergeCell ref="P165:R165"/>
    <mergeCell ref="D166:F166"/>
    <mergeCell ref="H166:J166"/>
    <mergeCell ref="L166:N166"/>
    <mergeCell ref="P166:R166"/>
    <mergeCell ref="D163:F163"/>
    <mergeCell ref="H163:J163"/>
    <mergeCell ref="L163:N163"/>
    <mergeCell ref="P163:R163"/>
    <mergeCell ref="D164:F164"/>
    <mergeCell ref="H164:J164"/>
    <mergeCell ref="L164:N164"/>
    <mergeCell ref="P164:R164"/>
    <mergeCell ref="D161:F161"/>
    <mergeCell ref="H161:J161"/>
    <mergeCell ref="L161:N161"/>
    <mergeCell ref="P161:R161"/>
    <mergeCell ref="D162:F162"/>
    <mergeCell ref="H162:J162"/>
    <mergeCell ref="L162:N162"/>
    <mergeCell ref="P162:R162"/>
    <mergeCell ref="D159:F159"/>
    <mergeCell ref="H159:J159"/>
    <mergeCell ref="L159:N159"/>
    <mergeCell ref="P159:R159"/>
    <mergeCell ref="D160:F160"/>
    <mergeCell ref="H160:J160"/>
    <mergeCell ref="L160:N160"/>
    <mergeCell ref="P160:R160"/>
    <mergeCell ref="D157:F157"/>
    <mergeCell ref="H157:J157"/>
    <mergeCell ref="L157:N157"/>
    <mergeCell ref="P157:R157"/>
    <mergeCell ref="D158:F158"/>
    <mergeCell ref="H158:J158"/>
    <mergeCell ref="L158:N158"/>
    <mergeCell ref="P158:R158"/>
    <mergeCell ref="D145:F145"/>
    <mergeCell ref="H145:J145"/>
    <mergeCell ref="L145:N145"/>
    <mergeCell ref="P145:R145"/>
    <mergeCell ref="D146:F146"/>
    <mergeCell ref="H146:J146"/>
    <mergeCell ref="L146:N146"/>
    <mergeCell ref="P146:R146"/>
    <mergeCell ref="D136:F136"/>
    <mergeCell ref="H136:J136"/>
    <mergeCell ref="L136:N136"/>
    <mergeCell ref="P136:R136"/>
    <mergeCell ref="D137:F137"/>
    <mergeCell ref="H137:J137"/>
    <mergeCell ref="L137:N137"/>
    <mergeCell ref="P137:R137"/>
    <mergeCell ref="D121:F121"/>
    <mergeCell ref="H121:J121"/>
    <mergeCell ref="L121:N121"/>
    <mergeCell ref="P121:R121"/>
    <mergeCell ref="D122:F122"/>
    <mergeCell ref="H122:J122"/>
    <mergeCell ref="L122:N122"/>
    <mergeCell ref="P122:R122"/>
    <mergeCell ref="D112:F112"/>
    <mergeCell ref="H112:J112"/>
    <mergeCell ref="L112:N112"/>
    <mergeCell ref="P112:R112"/>
    <mergeCell ref="D113:F113"/>
    <mergeCell ref="H113:J113"/>
    <mergeCell ref="L113:N113"/>
    <mergeCell ref="P113:R113"/>
    <mergeCell ref="D100:F100"/>
    <mergeCell ref="H100:J100"/>
    <mergeCell ref="L100:N100"/>
    <mergeCell ref="P100:R100"/>
    <mergeCell ref="D101:F101"/>
    <mergeCell ref="H101:J101"/>
    <mergeCell ref="L101:N101"/>
    <mergeCell ref="P101:R101"/>
    <mergeCell ref="D95:F95"/>
    <mergeCell ref="H95:J95"/>
    <mergeCell ref="L95:N95"/>
    <mergeCell ref="P95:R95"/>
    <mergeCell ref="D97:F97"/>
    <mergeCell ref="H97:J97"/>
    <mergeCell ref="L97:N97"/>
    <mergeCell ref="P97:R97"/>
    <mergeCell ref="D89:F89"/>
    <mergeCell ref="H89:J89"/>
    <mergeCell ref="L89:N89"/>
    <mergeCell ref="P89:R89"/>
    <mergeCell ref="D90:F90"/>
    <mergeCell ref="H90:J90"/>
    <mergeCell ref="L90:N90"/>
    <mergeCell ref="P90:R90"/>
    <mergeCell ref="D87:F87"/>
    <mergeCell ref="H87:J87"/>
    <mergeCell ref="L87:N87"/>
    <mergeCell ref="P87:R87"/>
    <mergeCell ref="D88:F88"/>
    <mergeCell ref="H88:J88"/>
    <mergeCell ref="L88:N88"/>
    <mergeCell ref="P88:R88"/>
    <mergeCell ref="D85:F85"/>
    <mergeCell ref="H85:J85"/>
    <mergeCell ref="L85:N85"/>
    <mergeCell ref="P85:R85"/>
    <mergeCell ref="D86:F86"/>
    <mergeCell ref="H86:J86"/>
    <mergeCell ref="L86:N86"/>
    <mergeCell ref="P86:R86"/>
    <mergeCell ref="D83:F83"/>
    <mergeCell ref="H83:J83"/>
    <mergeCell ref="L83:N83"/>
    <mergeCell ref="P83:R83"/>
    <mergeCell ref="D84:F84"/>
    <mergeCell ref="H84:J84"/>
    <mergeCell ref="L84:N84"/>
    <mergeCell ref="P84:R84"/>
    <mergeCell ref="D81:F81"/>
    <mergeCell ref="H81:J81"/>
    <mergeCell ref="L81:N81"/>
    <mergeCell ref="P81:R81"/>
    <mergeCell ref="D82:F82"/>
    <mergeCell ref="H82:J82"/>
    <mergeCell ref="L82:N82"/>
    <mergeCell ref="P82:R82"/>
    <mergeCell ref="D69:F69"/>
    <mergeCell ref="H69:J69"/>
    <mergeCell ref="L69:N69"/>
    <mergeCell ref="P69:R69"/>
    <mergeCell ref="D80:F80"/>
    <mergeCell ref="H80:J80"/>
    <mergeCell ref="L80:N80"/>
    <mergeCell ref="P80:R80"/>
    <mergeCell ref="D60:F60"/>
    <mergeCell ref="H60:J60"/>
    <mergeCell ref="L60:N60"/>
    <mergeCell ref="P60:R60"/>
    <mergeCell ref="D68:F68"/>
    <mergeCell ref="H68:J68"/>
    <mergeCell ref="L68:N68"/>
    <mergeCell ref="P68:R68"/>
    <mergeCell ref="D45:F45"/>
    <mergeCell ref="H45:J45"/>
    <mergeCell ref="L45:N45"/>
    <mergeCell ref="P45:R45"/>
    <mergeCell ref="D59:F59"/>
    <mergeCell ref="H59:J59"/>
    <mergeCell ref="L59:N59"/>
    <mergeCell ref="P59:R59"/>
    <mergeCell ref="D23:F23"/>
    <mergeCell ref="H23:J23"/>
    <mergeCell ref="L23:N23"/>
    <mergeCell ref="P23:R23"/>
    <mergeCell ref="D36:F36"/>
    <mergeCell ref="H36:J36"/>
    <mergeCell ref="L36:N36"/>
    <mergeCell ref="P36:R36"/>
    <mergeCell ref="D44:F44"/>
    <mergeCell ref="H44:J44"/>
    <mergeCell ref="L44:N44"/>
    <mergeCell ref="P44:R44"/>
    <mergeCell ref="D24:F24"/>
    <mergeCell ref="H24:J24"/>
    <mergeCell ref="L24:N24"/>
    <mergeCell ref="P24:R24"/>
    <mergeCell ref="D35:F35"/>
    <mergeCell ref="H35:J35"/>
    <mergeCell ref="L35:N35"/>
    <mergeCell ref="P35:R35"/>
    <mergeCell ref="E2:G2"/>
    <mergeCell ref="C11:K11"/>
    <mergeCell ref="C12:K12"/>
    <mergeCell ref="D19:F19"/>
    <mergeCell ref="H19:J19"/>
    <mergeCell ref="L19:N19"/>
    <mergeCell ref="P19:R19"/>
    <mergeCell ref="D21:F21"/>
    <mergeCell ref="H21:J21"/>
    <mergeCell ref="L21:N21"/>
    <mergeCell ref="P21:R21"/>
    <mergeCell ref="B2:C2"/>
  </mergeCells>
  <conditionalFormatting sqref="P21 P26:P33 Q26:R29 P38:R42 P47:R57 P62:R66 P71:R78 P82:R90">
    <cfRule type="expression" dxfId="39" priority="1" stopIfTrue="1">
      <formula>$D$15&lt;4</formula>
    </cfRule>
  </conditionalFormatting>
  <conditionalFormatting sqref="D97 D103:F106 D115:F119 D124:F134 D139:F143 D148:F155 D159:F167 D107:D110">
    <cfRule type="expression" dxfId="38" priority="7" stopIfTrue="1">
      <formula>$D$15&lt;5</formula>
    </cfRule>
  </conditionalFormatting>
  <conditionalFormatting sqref="H97 H103:J106 H115:J119 H124:J134 H139:J143 H148:J155 H159:J167 H107:H110">
    <cfRule type="expression" dxfId="37" priority="6" stopIfTrue="1">
      <formula>$D$15&lt;6</formula>
    </cfRule>
  </conditionalFormatting>
  <conditionalFormatting sqref="L97 L103:N106 L115:N119 L124:N134 L139:N143 L148:N155 L159:N167 L107:L110">
    <cfRule type="expression" dxfId="36" priority="5" stopIfTrue="1">
      <formula>$D$15&lt;7</formula>
    </cfRule>
  </conditionalFormatting>
  <conditionalFormatting sqref="P97 P103:R106 P115:R119 P124:R134 P139:R143 P148:R155 P159:R167 P107:P110">
    <cfRule type="expression" dxfId="35" priority="4" stopIfTrue="1">
      <formula>$D$15&lt;8</formula>
    </cfRule>
  </conditionalFormatting>
  <conditionalFormatting sqref="H21 H26:J29 H30:H33 H38:J42 H47:J57 H62:J66 H71:J78 H82:J90">
    <cfRule type="expression" dxfId="34" priority="3" stopIfTrue="1">
      <formula>$D$15&lt;2</formula>
    </cfRule>
  </conditionalFormatting>
  <conditionalFormatting sqref="L21 L26:N29 L30:L33 L38:N42 L47:N57 L62:N66 L71:N78 L82:N90">
    <cfRule type="expression" dxfId="33" priority="2" stopIfTrue="1">
      <formula>$D$15&lt;3</formula>
    </cfRule>
  </conditionalFormatting>
  <dataValidations count="2">
    <dataValidation type="list" showInputMessage="1" showErrorMessage="1" sqref="P97:R97 D21:F21 H21:J21 L21:N21 P21:R21 D97:F97 H97:J97 L97:N97" xr:uid="{00000000-0002-0000-1400-000000000000}">
      <formula1>Yes_No</formula1>
    </dataValidation>
    <dataValidation type="list" showInputMessage="1" showErrorMessage="1" errorTitle="Invalid Data" error="Please enter a number between 0 and 8" sqref="D15" xr:uid="{00000000-0002-0000-1400-000001000000}">
      <formula1>IEER_Tests</formula1>
    </dataValidation>
  </dataValidations>
  <hyperlinks>
    <hyperlink ref="E2" location="Instructions!A1" display="Back to Instructions" xr:uid="{00000000-0004-0000-1400-000000000000}"/>
  </hyperlink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tabColor rgb="FF0070C0"/>
  </sheetPr>
  <dimension ref="A1:O41"/>
  <sheetViews>
    <sheetView showGridLines="0" zoomScale="80" zoomScaleNormal="80" workbookViewId="0">
      <selection activeCell="E2" sqref="E2:G2"/>
    </sheetView>
  </sheetViews>
  <sheetFormatPr defaultColWidth="9.140625" defaultRowHeight="16.5" x14ac:dyDescent="0.3"/>
  <cols>
    <col min="1" max="1" width="3.5703125" style="282" customWidth="1"/>
    <col min="2" max="2" width="32.28515625" style="282" customWidth="1"/>
    <col min="3" max="3" width="37.42578125" style="282" customWidth="1"/>
    <col min="4" max="4" width="21.140625" style="282" customWidth="1"/>
    <col min="5" max="7" width="17.42578125" style="282" customWidth="1"/>
    <col min="8" max="8" width="27.5703125" style="300" customWidth="1"/>
    <col min="9" max="9" width="24" style="300" bestFit="1" customWidth="1"/>
    <col min="10" max="10" width="31.140625" style="282" customWidth="1"/>
    <col min="11" max="11" width="17.42578125" style="282" customWidth="1"/>
    <col min="12" max="12" width="4.42578125" style="282" customWidth="1"/>
    <col min="13" max="13" width="4.5703125" style="282" customWidth="1"/>
    <col min="14" max="16384" width="9.140625" style="282"/>
  </cols>
  <sheetData>
    <row r="1" spans="1:15" ht="17.25" thickBot="1" x14ac:dyDescent="0.35">
      <c r="M1" s="285"/>
    </row>
    <row r="2" spans="1:15" ht="18.75" thickBot="1" x14ac:dyDescent="0.4">
      <c r="A2" s="286"/>
      <c r="B2" s="805" t="s">
        <v>622</v>
      </c>
      <c r="C2" s="806"/>
      <c r="D2" s="286"/>
      <c r="E2" s="1030" t="s">
        <v>566</v>
      </c>
      <c r="F2" s="1030"/>
      <c r="G2" s="1030"/>
      <c r="H2" s="301"/>
      <c r="I2" s="301"/>
      <c r="M2" s="285"/>
    </row>
    <row r="3" spans="1:15" ht="33.75" thickBot="1" x14ac:dyDescent="0.35">
      <c r="A3" s="286"/>
      <c r="B3" s="365" t="s">
        <v>623</v>
      </c>
      <c r="C3" s="366" t="str">
        <f>'Version Control'!C3</f>
        <v>Commercial Air Conditioner and Heat Pump</v>
      </c>
      <c r="D3" s="286"/>
      <c r="E3" s="286"/>
      <c r="F3" s="286"/>
      <c r="G3" s="286"/>
      <c r="H3" s="301"/>
      <c r="I3" s="301"/>
      <c r="M3" s="285"/>
    </row>
    <row r="4" spans="1:15" ht="18" thickBot="1" x14ac:dyDescent="0.35">
      <c r="A4" s="286"/>
      <c r="B4" s="367" t="s">
        <v>142</v>
      </c>
      <c r="C4" s="368" t="str">
        <f>'Version Control'!C4</f>
        <v>v2.2</v>
      </c>
      <c r="D4" s="286"/>
      <c r="E4" s="286"/>
      <c r="F4" s="286"/>
      <c r="G4" s="286"/>
      <c r="H4" s="302" t="s">
        <v>351</v>
      </c>
      <c r="I4" s="303"/>
      <c r="M4" s="285"/>
    </row>
    <row r="5" spans="1:15" x14ac:dyDescent="0.3">
      <c r="A5" s="286"/>
      <c r="B5" s="367" t="s">
        <v>475</v>
      </c>
      <c r="C5" s="369">
        <f>'Version Control'!C5</f>
        <v>43353</v>
      </c>
      <c r="D5" s="286"/>
      <c r="E5" s="286"/>
      <c r="F5" s="286"/>
      <c r="G5" s="286"/>
      <c r="H5" s="304" t="s">
        <v>160</v>
      </c>
      <c r="I5" s="343" t="str">
        <f>IF('General Info and Test Results'!C24="","",'General Info and Test Results'!C24)</f>
        <v/>
      </c>
      <c r="M5" s="285"/>
    </row>
    <row r="6" spans="1:15" x14ac:dyDescent="0.3">
      <c r="A6" s="286"/>
      <c r="B6" s="370" t="s">
        <v>141</v>
      </c>
      <c r="C6" s="371" t="str">
        <f ca="1">MID(CELL("filename",$A$1), FIND("]", CELL("filename", $A$1))+ 1, 255)</f>
        <v>IEER Calculations</v>
      </c>
      <c r="D6" s="286"/>
      <c r="E6" s="286"/>
      <c r="F6" s="286"/>
      <c r="G6" s="286"/>
      <c r="H6" s="305" t="s">
        <v>155</v>
      </c>
      <c r="I6" s="344" t="str">
        <f>IF('General Info and Test Results'!C25="","",'General Info and Test Results'!C25)</f>
        <v/>
      </c>
      <c r="M6" s="285"/>
    </row>
    <row r="7" spans="1:15" ht="32.25" customHeight="1" thickBot="1" x14ac:dyDescent="0.35">
      <c r="A7" s="286"/>
      <c r="B7" s="361" t="s">
        <v>140</v>
      </c>
      <c r="C7" s="362" t="str">
        <f ca="1">'Version Control'!C7</f>
        <v>Commercial Air Conditioner and Heat Pump - v2.2.xlsx</v>
      </c>
      <c r="D7" s="286"/>
      <c r="E7" s="286"/>
      <c r="F7" s="286"/>
      <c r="G7" s="286"/>
      <c r="H7" s="306" t="s">
        <v>201</v>
      </c>
      <c r="I7" s="345" t="str">
        <f>IF('General Info and Test Results'!C26="","",'General Info and Test Results'!C26)</f>
        <v/>
      </c>
      <c r="M7" s="285"/>
    </row>
    <row r="8" spans="1:15" ht="17.25" thickBot="1" x14ac:dyDescent="0.35">
      <c r="B8" s="372" t="s">
        <v>143</v>
      </c>
      <c r="C8" s="373" t="str">
        <f>'Version Control'!C8</f>
        <v>[MM/DD/YYYY]</v>
      </c>
      <c r="M8" s="285"/>
    </row>
    <row r="9" spans="1:15" x14ac:dyDescent="0.3">
      <c r="M9" s="285"/>
    </row>
    <row r="10" spans="1:15" ht="17.25" thickBot="1" x14ac:dyDescent="0.35">
      <c r="M10" s="285"/>
    </row>
    <row r="11" spans="1:15" ht="18.75" thickBot="1" x14ac:dyDescent="0.4">
      <c r="C11" s="994" t="s">
        <v>324</v>
      </c>
      <c r="D11" s="995"/>
      <c r="E11" s="995"/>
      <c r="F11" s="995"/>
      <c r="G11" s="995"/>
      <c r="H11" s="995"/>
      <c r="I11" s="995"/>
      <c r="J11" s="995"/>
      <c r="K11" s="996"/>
      <c r="M11" s="285"/>
    </row>
    <row r="12" spans="1:15" ht="213" customHeight="1" thickBot="1" x14ac:dyDescent="0.35">
      <c r="B12" s="533"/>
      <c r="C12" s="1031" t="s">
        <v>653</v>
      </c>
      <c r="D12" s="1032"/>
      <c r="E12" s="1032"/>
      <c r="F12" s="1032"/>
      <c r="G12" s="1032"/>
      <c r="H12" s="1032"/>
      <c r="I12" s="1032"/>
      <c r="J12" s="1032"/>
      <c r="K12" s="1033"/>
      <c r="L12" s="533"/>
      <c r="M12" s="538"/>
      <c r="N12" s="533"/>
      <c r="O12" s="533"/>
    </row>
    <row r="13" spans="1:15" ht="17.25" thickBot="1" x14ac:dyDescent="0.35">
      <c r="B13" s="533"/>
      <c r="C13" s="533"/>
      <c r="D13" s="533"/>
      <c r="E13" s="533"/>
      <c r="F13" s="533"/>
      <c r="G13" s="533"/>
      <c r="H13" s="593"/>
      <c r="I13" s="593"/>
      <c r="J13" s="533"/>
      <c r="K13" s="533"/>
      <c r="L13" s="533"/>
      <c r="M13" s="538"/>
      <c r="N13" s="533"/>
      <c r="O13" s="533"/>
    </row>
    <row r="14" spans="1:15" ht="18" thickBot="1" x14ac:dyDescent="0.4">
      <c r="B14" s="533"/>
      <c r="C14" s="589" t="s">
        <v>586</v>
      </c>
      <c r="D14" s="594"/>
      <c r="E14" s="594"/>
      <c r="F14" s="594"/>
      <c r="G14" s="594"/>
      <c r="H14" s="595"/>
      <c r="I14" s="595"/>
      <c r="J14" s="594"/>
      <c r="K14" s="596"/>
      <c r="L14" s="533"/>
      <c r="M14" s="538"/>
      <c r="N14" s="533"/>
      <c r="O14" s="533"/>
    </row>
    <row r="15" spans="1:15" ht="18.75" x14ac:dyDescent="0.4">
      <c r="B15" s="533"/>
      <c r="C15" s="597" t="s">
        <v>587</v>
      </c>
      <c r="D15" s="598" t="s">
        <v>588</v>
      </c>
      <c r="E15" s="599" t="s">
        <v>589</v>
      </c>
      <c r="F15" s="599" t="s">
        <v>590</v>
      </c>
      <c r="G15" s="599" t="s">
        <v>591</v>
      </c>
      <c r="H15" s="600" t="s">
        <v>592</v>
      </c>
      <c r="I15" s="600" t="s">
        <v>593</v>
      </c>
      <c r="J15" s="599" t="s">
        <v>594</v>
      </c>
      <c r="K15" s="601" t="s">
        <v>595</v>
      </c>
      <c r="L15" s="533"/>
      <c r="M15" s="538"/>
      <c r="N15" s="533"/>
      <c r="O15" s="533"/>
    </row>
    <row r="16" spans="1:15" x14ac:dyDescent="0.3">
      <c r="B16" s="533"/>
      <c r="C16" s="563">
        <v>1</v>
      </c>
      <c r="D16" s="564" t="str">
        <f>'IEER Tests Recorded Data'!D75</f>
        <v/>
      </c>
      <c r="E16" s="602" t="str">
        <f>IF(F16="","",F16/F16)</f>
        <v/>
      </c>
      <c r="F16" s="603" t="str">
        <f>IF(I5="","",'IEER Tests Recorded Data'!D85)</f>
        <v/>
      </c>
      <c r="G16" s="603" t="str">
        <f>IF('IEER Tests Recorded Data'!D30="","",'IEER Tests Recorded Data'!D30)</f>
        <v/>
      </c>
      <c r="H16" s="604" t="str">
        <f>IF('IEER Tests Recorded Data'!D31="","",'IEER Tests Recorded Data'!D31)</f>
        <v/>
      </c>
      <c r="I16" s="605" t="str">
        <f>IF('IEER Tests Recorded Data'!D32="","",'IEER Tests Recorded Data'!D32)</f>
        <v/>
      </c>
      <c r="J16" s="564" t="str">
        <f>IF('IEER Tests Recorded Data'!D33="","",'IEER Tests Recorded Data'!D33)</f>
        <v/>
      </c>
      <c r="K16" s="565" t="str">
        <f t="shared" ref="K16:K23" si="0">IF(F16="","",F16/SUM(G16:J16))</f>
        <v/>
      </c>
      <c r="L16" s="533"/>
      <c r="M16" s="538"/>
      <c r="N16" s="533"/>
      <c r="O16" s="533"/>
    </row>
    <row r="17" spans="2:15" x14ac:dyDescent="0.3">
      <c r="B17" s="533"/>
      <c r="C17" s="563">
        <v>2</v>
      </c>
      <c r="D17" s="564" t="str">
        <f>IF('IEER Tests Recorded Data'!H75="","",'IEER Tests Recorded Data'!H75)</f>
        <v/>
      </c>
      <c r="E17" s="602" t="str">
        <f t="shared" ref="E17:E23" si="1">IF(F17="","",F17/$F$16)</f>
        <v/>
      </c>
      <c r="F17" s="603" t="str">
        <f>'IEER Tests Recorded Data'!H85</f>
        <v/>
      </c>
      <c r="G17" s="603" t="str">
        <f>IF('IEER Tests Recorded Data'!H30="","",'IEER Tests Recorded Data'!H30)</f>
        <v/>
      </c>
      <c r="H17" s="604" t="str">
        <f>IF('IEER Tests Recorded Data'!H31="","",'IEER Tests Recorded Data'!H31)</f>
        <v/>
      </c>
      <c r="I17" s="605" t="str">
        <f>IF('IEER Tests Recorded Data'!H32="","",'IEER Tests Recorded Data'!H32)</f>
        <v/>
      </c>
      <c r="J17" s="564" t="str">
        <f>IF('IEER Tests Recorded Data'!H33="","",'IEER Tests Recorded Data'!H33)</f>
        <v/>
      </c>
      <c r="K17" s="565" t="str">
        <f t="shared" si="0"/>
        <v/>
      </c>
      <c r="L17" s="533"/>
      <c r="M17" s="538"/>
      <c r="N17" s="533"/>
      <c r="O17" s="533"/>
    </row>
    <row r="18" spans="2:15" x14ac:dyDescent="0.3">
      <c r="B18" s="533"/>
      <c r="C18" s="563">
        <v>3</v>
      </c>
      <c r="D18" s="564" t="str">
        <f>IF('IEER Tests Recorded Data'!L75="","",'IEER Tests Recorded Data'!L75)</f>
        <v/>
      </c>
      <c r="E18" s="602" t="str">
        <f t="shared" si="1"/>
        <v/>
      </c>
      <c r="F18" s="603" t="str">
        <f>'IEER Tests Recorded Data'!L85</f>
        <v/>
      </c>
      <c r="G18" s="603" t="str">
        <f>IF('IEER Tests Recorded Data'!L30="","",'IEER Tests Recorded Data'!L30)</f>
        <v/>
      </c>
      <c r="H18" s="604" t="str">
        <f>IF('IEER Tests Recorded Data'!L31="","",'IEER Tests Recorded Data'!L31)</f>
        <v/>
      </c>
      <c r="I18" s="605" t="str">
        <f>IF('IEER Tests Recorded Data'!L32="","",'IEER Tests Recorded Data'!L32)</f>
        <v/>
      </c>
      <c r="J18" s="564" t="str">
        <f>IF('IEER Tests Recorded Data'!L33="","",'IEER Tests Recorded Data'!L33)</f>
        <v/>
      </c>
      <c r="K18" s="565" t="str">
        <f t="shared" si="0"/>
        <v/>
      </c>
      <c r="L18" s="533"/>
      <c r="M18" s="538"/>
      <c r="N18" s="533"/>
      <c r="O18" s="533"/>
    </row>
    <row r="19" spans="2:15" x14ac:dyDescent="0.3">
      <c r="B19" s="533"/>
      <c r="C19" s="563">
        <v>4</v>
      </c>
      <c r="D19" s="564" t="str">
        <f>IF('IEER Tests Recorded Data'!P75="","",'IEER Tests Recorded Data'!P75)</f>
        <v/>
      </c>
      <c r="E19" s="602" t="str">
        <f t="shared" si="1"/>
        <v/>
      </c>
      <c r="F19" s="603" t="str">
        <f>'IEER Tests Recorded Data'!P85</f>
        <v/>
      </c>
      <c r="G19" s="603" t="str">
        <f>IF('IEER Tests Recorded Data'!P30="","",'IEER Tests Recorded Data'!P30)</f>
        <v/>
      </c>
      <c r="H19" s="605" t="str">
        <f>IF('IEER Tests Recorded Data'!P31="","",'IEER Tests Recorded Data'!P31)</f>
        <v/>
      </c>
      <c r="I19" s="605" t="str">
        <f>IF('IEER Tests Recorded Data'!P32="","",'IEER Tests Recorded Data'!P32)</f>
        <v/>
      </c>
      <c r="J19" s="564" t="str">
        <f>IF('IEER Tests Recorded Data'!P33="","",'IEER Tests Recorded Data'!P33)</f>
        <v/>
      </c>
      <c r="K19" s="565" t="str">
        <f t="shared" si="0"/>
        <v/>
      </c>
      <c r="L19" s="533"/>
      <c r="M19" s="538"/>
      <c r="N19" s="533"/>
      <c r="O19" s="533"/>
    </row>
    <row r="20" spans="2:15" x14ac:dyDescent="0.3">
      <c r="B20" s="533"/>
      <c r="C20" s="563">
        <v>5</v>
      </c>
      <c r="D20" s="564" t="str">
        <f>IF('IEER Tests Recorded Data'!D152="","",'IEER Tests Recorded Data'!D152)</f>
        <v/>
      </c>
      <c r="E20" s="602" t="str">
        <f t="shared" si="1"/>
        <v/>
      </c>
      <c r="F20" s="603" t="str">
        <f>'IEER Tests Recorded Data'!D162</f>
        <v/>
      </c>
      <c r="G20" s="603" t="str">
        <f>IF('IEER Tests Recorded Data'!D107="","",'IEER Tests Recorded Data'!D107)</f>
        <v/>
      </c>
      <c r="H20" s="605" t="str">
        <f>IF('IEER Tests Recorded Data'!D108="","",'IEER Tests Recorded Data'!D108)</f>
        <v/>
      </c>
      <c r="I20" s="604" t="str">
        <f>IF('IEER Tests Recorded Data'!D109="","",'IEER Tests Recorded Data'!D109)</f>
        <v/>
      </c>
      <c r="J20" s="564" t="str">
        <f>IF('IEER Tests Recorded Data'!D110="","",'IEER Tests Recorded Data'!D110)</f>
        <v/>
      </c>
      <c r="K20" s="565" t="str">
        <f t="shared" si="0"/>
        <v/>
      </c>
      <c r="L20" s="533"/>
      <c r="M20" s="538"/>
      <c r="N20" s="533"/>
      <c r="O20" s="533"/>
    </row>
    <row r="21" spans="2:15" x14ac:dyDescent="0.3">
      <c r="B21" s="533"/>
      <c r="C21" s="563">
        <v>6</v>
      </c>
      <c r="D21" s="564" t="str">
        <f>IF('IEER Tests Recorded Data'!H152="","",'IEER Tests Recorded Data'!H152)</f>
        <v/>
      </c>
      <c r="E21" s="602" t="str">
        <f t="shared" si="1"/>
        <v/>
      </c>
      <c r="F21" s="603" t="str">
        <f>'IEER Tests Recorded Data'!H162</f>
        <v/>
      </c>
      <c r="G21" s="603" t="str">
        <f>IF('IEER Tests Recorded Data'!H107="","",'IEER Tests Recorded Data'!H107)</f>
        <v/>
      </c>
      <c r="H21" s="605" t="str">
        <f>IF('IEER Tests Recorded Data'!H108="","",'IEER Tests Recorded Data'!H108)</f>
        <v/>
      </c>
      <c r="I21" s="604" t="str">
        <f>IF('IEER Tests Recorded Data'!H109="","",'IEER Tests Recorded Data'!H109)</f>
        <v/>
      </c>
      <c r="J21" s="564" t="str">
        <f>IF('IEER Tests Recorded Data'!H110="","",'IEER Tests Recorded Data'!H110)</f>
        <v/>
      </c>
      <c r="K21" s="565" t="str">
        <f t="shared" si="0"/>
        <v/>
      </c>
      <c r="L21" s="533"/>
      <c r="M21" s="538"/>
      <c r="N21" s="533"/>
      <c r="O21" s="533"/>
    </row>
    <row r="22" spans="2:15" x14ac:dyDescent="0.3">
      <c r="B22" s="533"/>
      <c r="C22" s="563">
        <v>7</v>
      </c>
      <c r="D22" s="564" t="str">
        <f>IF('IEER Tests Recorded Data'!L152="","",'IEER Tests Recorded Data'!L152)</f>
        <v/>
      </c>
      <c r="E22" s="602" t="str">
        <f t="shared" si="1"/>
        <v/>
      </c>
      <c r="F22" s="603" t="str">
        <f>'IEER Tests Recorded Data'!L162</f>
        <v/>
      </c>
      <c r="G22" s="603" t="str">
        <f>IF('IEER Tests Recorded Data'!L107="","",'IEER Tests Recorded Data'!L107)</f>
        <v/>
      </c>
      <c r="H22" s="605" t="str">
        <f>IF('IEER Tests Recorded Data'!L108="","",'IEER Tests Recorded Data'!L108)</f>
        <v/>
      </c>
      <c r="I22" s="604" t="str">
        <f>IF('IEER Tests Recorded Data'!L109="","",'IEER Tests Recorded Data'!L109)</f>
        <v/>
      </c>
      <c r="J22" s="564" t="str">
        <f>IF('IEER Tests Recorded Data'!L110="","",'IEER Tests Recorded Data'!L110)</f>
        <v/>
      </c>
      <c r="K22" s="565" t="str">
        <f t="shared" si="0"/>
        <v/>
      </c>
      <c r="L22" s="533"/>
      <c r="M22" s="538"/>
      <c r="N22" s="533"/>
      <c r="O22" s="533"/>
    </row>
    <row r="23" spans="2:15" ht="17.25" thickBot="1" x14ac:dyDescent="0.35">
      <c r="B23" s="533"/>
      <c r="C23" s="576">
        <v>8</v>
      </c>
      <c r="D23" s="577" t="str">
        <f>IF('IEER Tests Recorded Data'!P152="","",'IEER Tests Recorded Data'!P152)</f>
        <v/>
      </c>
      <c r="E23" s="606" t="str">
        <f t="shared" si="1"/>
        <v/>
      </c>
      <c r="F23" s="607" t="str">
        <f>'IEER Tests Recorded Data'!P162</f>
        <v/>
      </c>
      <c r="G23" s="607" t="str">
        <f>IF('IEER Tests Recorded Data'!P107="","",'IEER Tests Recorded Data'!P107)</f>
        <v/>
      </c>
      <c r="H23" s="608" t="str">
        <f>IF('IEER Tests Recorded Data'!P108="","",'IEER Tests Recorded Data'!P108)</f>
        <v/>
      </c>
      <c r="I23" s="609" t="str">
        <f>IF('IEER Tests Recorded Data'!P109="","",'IEER Tests Recorded Data'!P109)</f>
        <v/>
      </c>
      <c r="J23" s="577" t="str">
        <f>IF('IEER Tests Recorded Data'!P110="","",'IEER Tests Recorded Data'!P110)</f>
        <v/>
      </c>
      <c r="K23" s="578" t="str">
        <f t="shared" si="0"/>
        <v/>
      </c>
      <c r="L23" s="533"/>
      <c r="M23" s="538"/>
      <c r="N23" s="533"/>
      <c r="O23" s="533"/>
    </row>
    <row r="24" spans="2:15" x14ac:dyDescent="0.3">
      <c r="B24" s="533"/>
      <c r="C24" s="533"/>
      <c r="D24" s="533"/>
      <c r="E24" s="533"/>
      <c r="F24" s="533"/>
      <c r="G24" s="533"/>
      <c r="H24" s="593"/>
      <c r="I24" s="593"/>
      <c r="J24" s="533"/>
      <c r="K24" s="533"/>
      <c r="L24" s="533"/>
      <c r="M24" s="538"/>
      <c r="N24" s="533"/>
      <c r="O24" s="533"/>
    </row>
    <row r="25" spans="2:15" ht="17.25" thickBot="1" x14ac:dyDescent="0.35">
      <c r="B25" s="533"/>
      <c r="C25" s="533"/>
      <c r="D25" s="533"/>
      <c r="E25" s="533"/>
      <c r="F25" s="533"/>
      <c r="G25" s="533"/>
      <c r="H25" s="593"/>
      <c r="I25" s="593"/>
      <c r="J25" s="533"/>
      <c r="K25" s="533"/>
      <c r="L25" s="533"/>
      <c r="M25" s="538"/>
      <c r="N25" s="533"/>
      <c r="O25" s="533"/>
    </row>
    <row r="26" spans="2:15" ht="18" thickBot="1" x14ac:dyDescent="0.4">
      <c r="B26" s="533"/>
      <c r="C26" s="1034" t="s">
        <v>596</v>
      </c>
      <c r="D26" s="1035"/>
      <c r="E26" s="1035"/>
      <c r="F26" s="1035"/>
      <c r="G26" s="1035"/>
      <c r="H26" s="1035"/>
      <c r="I26" s="1036"/>
      <c r="J26" s="533"/>
      <c r="K26" s="533"/>
      <c r="L26" s="533"/>
      <c r="M26" s="538"/>
      <c r="N26" s="533"/>
      <c r="O26" s="533"/>
    </row>
    <row r="27" spans="2:15" ht="18.75" x14ac:dyDescent="0.4">
      <c r="B27" s="533"/>
      <c r="C27" s="597" t="s">
        <v>597</v>
      </c>
      <c r="D27" s="598" t="s">
        <v>598</v>
      </c>
      <c r="E27" s="598" t="s">
        <v>599</v>
      </c>
      <c r="F27" s="598" t="s">
        <v>600</v>
      </c>
      <c r="G27" s="598" t="s">
        <v>601</v>
      </c>
      <c r="H27" s="610" t="s">
        <v>602</v>
      </c>
      <c r="I27" s="611" t="s">
        <v>603</v>
      </c>
      <c r="J27" s="533"/>
      <c r="K27" s="533"/>
      <c r="L27" s="533"/>
      <c r="M27" s="538"/>
      <c r="N27" s="533"/>
      <c r="O27" s="533"/>
    </row>
    <row r="28" spans="2:15" x14ac:dyDescent="0.3">
      <c r="B28" s="533"/>
      <c r="C28" s="612">
        <v>1</v>
      </c>
      <c r="D28" s="613"/>
      <c r="E28" s="567"/>
      <c r="F28" s="567"/>
      <c r="G28" s="564">
        <f>IF(D28="Actual Test",VLOOKUP(E28,IEER_Test_Data,9,0),
IF(D28="Interpolation",
VLOOKUP(E28,IEER_Test_Data,9,0)-(VLOOKUP(E28,IEER_Test_Data,9,0)-VLOOKUP(F28,IEER_Test_Data,9,0))/(VLOOKUP(E28,IEER_Test_Data,3,0)-VLOOKUP(F28,IEER_Test_Data,3,0))*(VLOOKUP(E28,IEER_Test_Data,3,0)-C28),
IF(D28="Part Load",
I28*VLOOKUP(E28,IEER_Test_Data,4,0)/
(I28*H28*(VLOOKUP(E28,IEER_Test_Data,5,0)+VLOOKUP(E28,IEER_Test_Data,6,0))+VLOOKUP(E28,IEER_Test_Data,7,0)+VLOOKUP(E28,IEER_Test_Data,8,0)),0)))</f>
        <v>0</v>
      </c>
      <c r="H28" s="604" t="str">
        <f>IF(D28="Part Load",1.13-0.13*I28,"")</f>
        <v/>
      </c>
      <c r="I28" s="614" t="str">
        <f>IF(D28="Part Load",C28*VLOOKUP(1,IEER_Test_Data,4,0)/VLOOKUP(E28,IEER_Test_Data,4,0),"")</f>
        <v/>
      </c>
      <c r="J28" s="533"/>
      <c r="K28" s="533"/>
      <c r="L28" s="533"/>
      <c r="M28" s="538"/>
      <c r="N28" s="533"/>
      <c r="O28" s="533"/>
    </row>
    <row r="29" spans="2:15" x14ac:dyDescent="0.3">
      <c r="B29" s="533"/>
      <c r="C29" s="612">
        <v>0.75</v>
      </c>
      <c r="D29" s="613"/>
      <c r="E29" s="567"/>
      <c r="F29" s="567"/>
      <c r="G29" s="564">
        <f>IF(D29="Actual Test",VLOOKUP(E29,IEER_Test_Data,9,0),
IF(D29="Interpolation",
VLOOKUP(E29,IEER_Test_Data,9,0)-(VLOOKUP(E29,IEER_Test_Data,9,0)-VLOOKUP(F29,IEER_Test_Data,9,0))/(VLOOKUP(E29,IEER_Test_Data,3,0)-VLOOKUP(F29,IEER_Test_Data,3,0))*(VLOOKUP(E29,IEER_Test_Data,3,0)-C29),
IF(D29="Part Load",
I29*VLOOKUP(E29,IEER_Test_Data,4,0)/
(I29*H29*(VLOOKUP(E29,IEER_Test_Data,5,0)+VLOOKUP(E29,IEER_Test_Data,6,0))+VLOOKUP(E29,IEER_Test_Data,7,0)+VLOOKUP(E29,IEER_Test_Data,8,0)),0)))</f>
        <v>0</v>
      </c>
      <c r="H29" s="604" t="str">
        <f>IF(D29="Part Load",1.13-0.13*I29,"")</f>
        <v/>
      </c>
      <c r="I29" s="614" t="str">
        <f>IF(D29="Part Load",C29*VLOOKUP(1,IEER_Test_Data,4,0)/VLOOKUP(E29,IEER_Test_Data,4,0),"")</f>
        <v/>
      </c>
      <c r="J29" s="533"/>
      <c r="K29" s="533"/>
      <c r="L29" s="533"/>
      <c r="M29" s="538"/>
      <c r="N29" s="533"/>
      <c r="O29" s="533"/>
    </row>
    <row r="30" spans="2:15" x14ac:dyDescent="0.3">
      <c r="B30" s="533"/>
      <c r="C30" s="612">
        <v>0.5</v>
      </c>
      <c r="D30" s="613"/>
      <c r="E30" s="567"/>
      <c r="F30" s="567"/>
      <c r="G30" s="564">
        <f>IF(D30="Actual Test",VLOOKUP(E30,IEER_Test_Data,9,0),
IF(D30="Interpolation",
VLOOKUP(E30,IEER_Test_Data,9,0)-(VLOOKUP(E30,IEER_Test_Data,9,0)-VLOOKUP(F30,IEER_Test_Data,9,0))/(VLOOKUP(E30,IEER_Test_Data,3,0)-VLOOKUP(F30,IEER_Test_Data,3,0))*(VLOOKUP(E30,IEER_Test_Data,3,0)-C30),
IF(D30="Part Load",
I30*VLOOKUP(E30,IEER_Test_Data,4,0)/
(I30*H30*(VLOOKUP(E30,IEER_Test_Data,5,0)+VLOOKUP(E30,IEER_Test_Data,6,0))+VLOOKUP(E30,IEER_Test_Data,7,0)+VLOOKUP(E30,IEER_Test_Data,8,0)),0)))</f>
        <v>0</v>
      </c>
      <c r="H30" s="604" t="str">
        <f>IF(D30="Part Load",1.13-0.13*I30,"")</f>
        <v/>
      </c>
      <c r="I30" s="614" t="str">
        <f>IF(D30="Part Load",C30*VLOOKUP(1,IEER_Test_Data,4,0)/VLOOKUP(E30,IEER_Test_Data,4,0),"")</f>
        <v/>
      </c>
      <c r="J30" s="533"/>
      <c r="K30" s="533"/>
      <c r="L30" s="533"/>
      <c r="M30" s="538"/>
      <c r="N30" s="533"/>
      <c r="O30" s="533"/>
    </row>
    <row r="31" spans="2:15" ht="17.25" thickBot="1" x14ac:dyDescent="0.35">
      <c r="B31" s="533"/>
      <c r="C31" s="615">
        <v>0.25</v>
      </c>
      <c r="D31" s="616"/>
      <c r="E31" s="579"/>
      <c r="F31" s="579"/>
      <c r="G31" s="577">
        <f>IF(D31="Actual Test",VLOOKUP(E31,IEER_Test_Data,9,0),
IF(D31="Interpolation",
VLOOKUP(E31,IEER_Test_Data,9,0)-(VLOOKUP(E31,IEER_Test_Data,9,0)-VLOOKUP(F31,IEER_Test_Data,9,0))/(VLOOKUP(E31,IEER_Test_Data,3,0)-VLOOKUP(F31,IEER_Test_Data,3,0))*(VLOOKUP(E31,IEER_Test_Data,3,0)-C31),
IF(D31="Part Load",
I31*VLOOKUP(E31,IEER_Test_Data,4,0)/
(I31*H31*(VLOOKUP(E31,IEER_Test_Data,5,0)+VLOOKUP(E31,IEER_Test_Data,6,0))+VLOOKUP(E31,IEER_Test_Data,7,0)+VLOOKUP(E31,IEER_Test_Data,8,0)),0)))</f>
        <v>0</v>
      </c>
      <c r="H31" s="609" t="str">
        <f>IF(D31="Part Load",1.13-0.13*I31,"")</f>
        <v/>
      </c>
      <c r="I31" s="617" t="str">
        <f>IF(D31="Part Load",C31*VLOOKUP(1,IEER_Test_Data,4,0)/VLOOKUP(E31,IEER_Test_Data,4,0),"")</f>
        <v/>
      </c>
      <c r="J31" s="533"/>
      <c r="K31" s="533"/>
      <c r="L31" s="533"/>
      <c r="M31" s="538"/>
      <c r="N31" s="533"/>
      <c r="O31" s="533"/>
    </row>
    <row r="32" spans="2:15" x14ac:dyDescent="0.3">
      <c r="B32" s="533"/>
      <c r="C32" s="533"/>
      <c r="D32" s="533"/>
      <c r="E32" s="533"/>
      <c r="F32" s="533"/>
      <c r="G32" s="533"/>
      <c r="H32" s="593"/>
      <c r="I32" s="593"/>
      <c r="J32" s="533"/>
      <c r="K32" s="533"/>
      <c r="L32" s="533"/>
      <c r="M32" s="538"/>
      <c r="N32" s="533"/>
      <c r="O32" s="533"/>
    </row>
    <row r="33" spans="1:15" ht="36.75" customHeight="1" thickBot="1" x14ac:dyDescent="0.35">
      <c r="B33" s="533"/>
      <c r="C33" s="533"/>
      <c r="D33" s="533"/>
      <c r="E33" s="533"/>
      <c r="F33" s="533"/>
      <c r="G33" s="533"/>
      <c r="H33" s="593"/>
      <c r="I33" s="744" t="s">
        <v>625</v>
      </c>
      <c r="J33" s="1027" t="s">
        <v>626</v>
      </c>
      <c r="K33" s="1027"/>
      <c r="L33" s="533"/>
      <c r="M33" s="538"/>
      <c r="N33" s="533"/>
      <c r="O33" s="533"/>
    </row>
    <row r="34" spans="1:15" ht="18" thickBot="1" x14ac:dyDescent="0.4">
      <c r="B34" s="533"/>
      <c r="C34" s="533"/>
      <c r="D34" s="533"/>
      <c r="E34" s="533"/>
      <c r="F34" s="533"/>
      <c r="G34" s="533"/>
      <c r="H34" s="618" t="s">
        <v>565</v>
      </c>
      <c r="I34" s="743">
        <f>0.02*G28+0.617*G29+0.238*G30+0.125*G31</f>
        <v>0</v>
      </c>
      <c r="J34" s="1028"/>
      <c r="K34" s="1029"/>
      <c r="L34" s="533"/>
      <c r="M34" s="538"/>
      <c r="N34" s="533"/>
      <c r="O34" s="533"/>
    </row>
    <row r="35" spans="1:15" x14ac:dyDescent="0.3">
      <c r="B35" s="533"/>
      <c r="C35" s="533"/>
      <c r="D35" s="533"/>
      <c r="E35" s="533"/>
      <c r="F35" s="533"/>
      <c r="G35" s="533"/>
      <c r="H35" s="593"/>
      <c r="I35" s="593"/>
      <c r="J35" s="533"/>
      <c r="K35" s="533"/>
      <c r="L35" s="533"/>
      <c r="M35" s="538"/>
      <c r="N35" s="533"/>
      <c r="O35" s="533"/>
    </row>
    <row r="36" spans="1:15" x14ac:dyDescent="0.3">
      <c r="A36" s="285"/>
      <c r="B36" s="538"/>
      <c r="C36" s="538"/>
      <c r="D36" s="538"/>
      <c r="E36" s="538"/>
      <c r="F36" s="538"/>
      <c r="G36" s="538"/>
      <c r="H36" s="619"/>
      <c r="I36" s="619"/>
      <c r="J36" s="538"/>
      <c r="K36" s="538"/>
      <c r="L36" s="538"/>
      <c r="M36" s="538"/>
      <c r="N36" s="533"/>
      <c r="O36" s="533"/>
    </row>
    <row r="37" spans="1:15" x14ac:dyDescent="0.3">
      <c r="B37" s="533"/>
      <c r="C37" s="533"/>
      <c r="D37" s="533"/>
      <c r="E37" s="533"/>
      <c r="F37" s="533"/>
      <c r="G37" s="533"/>
      <c r="H37" s="593"/>
      <c r="I37" s="593"/>
      <c r="J37" s="533"/>
      <c r="K37" s="533"/>
      <c r="L37" s="533"/>
      <c r="M37" s="533"/>
      <c r="N37" s="533"/>
      <c r="O37" s="533"/>
    </row>
    <row r="38" spans="1:15" x14ac:dyDescent="0.3">
      <c r="B38" s="533"/>
      <c r="C38" s="533"/>
      <c r="D38" s="533"/>
      <c r="E38" s="533"/>
      <c r="F38" s="533"/>
      <c r="G38" s="533"/>
      <c r="H38" s="593"/>
      <c r="I38" s="593"/>
      <c r="J38" s="533"/>
      <c r="K38" s="533"/>
      <c r="L38" s="533"/>
      <c r="M38" s="533"/>
      <c r="N38" s="533"/>
      <c r="O38" s="533"/>
    </row>
    <row r="39" spans="1:15" x14ac:dyDescent="0.3">
      <c r="B39" s="533"/>
      <c r="C39" s="533"/>
      <c r="D39" s="533"/>
      <c r="E39" s="533"/>
      <c r="F39" s="533"/>
      <c r="G39" s="533"/>
      <c r="H39" s="593"/>
      <c r="I39" s="593"/>
      <c r="J39" s="533"/>
      <c r="K39" s="533"/>
      <c r="L39" s="533"/>
      <c r="M39" s="533"/>
      <c r="N39" s="533"/>
      <c r="O39" s="533"/>
    </row>
    <row r="40" spans="1:15" x14ac:dyDescent="0.3">
      <c r="B40" s="533"/>
      <c r="C40" s="533"/>
      <c r="D40" s="533"/>
      <c r="E40" s="533"/>
      <c r="F40" s="533"/>
      <c r="G40" s="533"/>
      <c r="H40" s="593"/>
      <c r="I40" s="593"/>
      <c r="J40" s="533"/>
      <c r="K40" s="533"/>
      <c r="L40" s="533"/>
      <c r="M40" s="533"/>
      <c r="N40" s="533"/>
      <c r="O40" s="533"/>
    </row>
    <row r="41" spans="1:15" x14ac:dyDescent="0.3">
      <c r="B41" s="533"/>
      <c r="C41" s="533"/>
      <c r="D41" s="533"/>
      <c r="E41" s="533"/>
      <c r="F41" s="533"/>
      <c r="G41" s="533"/>
      <c r="H41" s="593"/>
      <c r="I41" s="593"/>
      <c r="J41" s="533"/>
      <c r="K41" s="533"/>
      <c r="L41" s="533"/>
      <c r="M41" s="533"/>
      <c r="N41" s="533"/>
      <c r="O41" s="533"/>
    </row>
  </sheetData>
  <sheetProtection password="CA08" sheet="1" objects="1" scenarios="1" selectLockedCells="1"/>
  <mergeCells count="7">
    <mergeCell ref="J33:K33"/>
    <mergeCell ref="J34:K34"/>
    <mergeCell ref="E2:G2"/>
    <mergeCell ref="C11:K11"/>
    <mergeCell ref="C12:K12"/>
    <mergeCell ref="C26:I26"/>
    <mergeCell ref="B2:C2"/>
  </mergeCells>
  <conditionalFormatting sqref="F28">
    <cfRule type="expression" dxfId="32" priority="15" stopIfTrue="1">
      <formula>$D$28&lt;&gt;"Interpolation"</formula>
    </cfRule>
  </conditionalFormatting>
  <conditionalFormatting sqref="F29">
    <cfRule type="expression" dxfId="31" priority="14" stopIfTrue="1">
      <formula>$D$29&lt;&gt;"Interpolation"</formula>
    </cfRule>
  </conditionalFormatting>
  <conditionalFormatting sqref="F30">
    <cfRule type="expression" dxfId="30" priority="13" stopIfTrue="1">
      <formula>$D$30&lt;&gt;"Interpolation"</formula>
    </cfRule>
  </conditionalFormatting>
  <conditionalFormatting sqref="F31">
    <cfRule type="expression" dxfId="29" priority="12" stopIfTrue="1">
      <formula>$D$31&lt;&gt;"Interpolation"</formula>
    </cfRule>
  </conditionalFormatting>
  <conditionalFormatting sqref="H28:I28">
    <cfRule type="expression" dxfId="28" priority="11" stopIfTrue="1">
      <formula>$D$28&lt;&gt;"Part Load"</formula>
    </cfRule>
  </conditionalFormatting>
  <conditionalFormatting sqref="H29:I29">
    <cfRule type="expression" dxfId="27" priority="10" stopIfTrue="1">
      <formula>$D$29&lt;&gt;"Part Load"</formula>
    </cfRule>
  </conditionalFormatting>
  <conditionalFormatting sqref="H30:I30">
    <cfRule type="expression" dxfId="26" priority="9" stopIfTrue="1">
      <formula>$D$30&lt;&gt;"Part Load"</formula>
    </cfRule>
  </conditionalFormatting>
  <conditionalFormatting sqref="H31:I31">
    <cfRule type="expression" dxfId="25" priority="8" stopIfTrue="1">
      <formula>$D$31&lt;&gt;"Part Load"</formula>
    </cfRule>
  </conditionalFormatting>
  <conditionalFormatting sqref="C17:K17">
    <cfRule type="expression" dxfId="24" priority="7" stopIfTrue="1">
      <formula>Test&lt;1</formula>
    </cfRule>
  </conditionalFormatting>
  <conditionalFormatting sqref="C18:K18">
    <cfRule type="expression" dxfId="23" priority="6" stopIfTrue="1">
      <formula>Test&lt;3</formula>
    </cfRule>
  </conditionalFormatting>
  <conditionalFormatting sqref="C19:K19">
    <cfRule type="expression" dxfId="22" priority="5" stopIfTrue="1">
      <formula>Test&lt;4</formula>
    </cfRule>
  </conditionalFormatting>
  <conditionalFormatting sqref="C20:K20">
    <cfRule type="expression" dxfId="21" priority="4" stopIfTrue="1">
      <formula>Test&lt;5</formula>
    </cfRule>
  </conditionalFormatting>
  <conditionalFormatting sqref="C21:K21">
    <cfRule type="expression" dxfId="20" priority="3" stopIfTrue="1">
      <formula>Test&lt;6</formula>
    </cfRule>
  </conditionalFormatting>
  <conditionalFormatting sqref="C22:K22">
    <cfRule type="expression" dxfId="19" priority="2" stopIfTrue="1">
      <formula>Test&lt;7</formula>
    </cfRule>
  </conditionalFormatting>
  <conditionalFormatting sqref="C23:K23">
    <cfRule type="expression" dxfId="18" priority="1" stopIfTrue="1">
      <formula>Test&lt;8</formula>
    </cfRule>
  </conditionalFormatting>
  <dataValidations count="1">
    <dataValidation type="list" showInputMessage="1" showErrorMessage="1" sqref="D28:D31" xr:uid="{00000000-0002-0000-1500-000000000000}">
      <formula1>IEER_Calc</formula1>
    </dataValidation>
  </dataValidations>
  <hyperlinks>
    <hyperlink ref="E2" location="Instructions!A1" display="Back to Instructions" xr:uid="{00000000-0004-0000-1500-000000000000}"/>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rgb="FF0070C0"/>
  </sheetPr>
  <dimension ref="A1:BH279"/>
  <sheetViews>
    <sheetView showGridLines="0" showZeros="0" zoomScale="80" zoomScaleNormal="80" workbookViewId="0">
      <selection activeCell="E3" sqref="E3:F3"/>
    </sheetView>
  </sheetViews>
  <sheetFormatPr defaultColWidth="9.140625" defaultRowHeight="18" x14ac:dyDescent="0.35"/>
  <cols>
    <col min="1" max="1" width="3.5703125" style="168" customWidth="1"/>
    <col min="2" max="2" width="36.28515625" style="168" customWidth="1"/>
    <col min="3" max="3" width="45.5703125" style="168" customWidth="1"/>
    <col min="4" max="5" width="27.28515625" style="168" customWidth="1"/>
    <col min="6" max="6" width="12.85546875" style="168" customWidth="1"/>
    <col min="7" max="7" width="29.42578125" style="168" customWidth="1"/>
    <col min="8" max="8" width="29.140625" style="168" customWidth="1"/>
    <col min="9" max="9" width="13.42578125" style="168" customWidth="1"/>
    <col min="10" max="10" width="10.85546875" style="168" customWidth="1"/>
    <col min="11" max="11" width="11.28515625" style="168" customWidth="1"/>
    <col min="12" max="12" width="20.140625" style="168" customWidth="1"/>
    <col min="13" max="13" width="160.5703125" style="168" bestFit="1" customWidth="1"/>
    <col min="14" max="14" width="154.140625" style="168" bestFit="1" customWidth="1"/>
    <col min="15" max="15" width="91.28515625" style="168" bestFit="1" customWidth="1"/>
    <col min="16" max="16" width="40" style="168" bestFit="1" customWidth="1"/>
    <col min="17" max="17" width="14.28515625" style="168" customWidth="1"/>
    <col min="18" max="18" width="11.28515625" style="167" customWidth="1"/>
    <col min="19" max="19" width="13.85546875" style="167" customWidth="1"/>
    <col min="20" max="20" width="12.140625" style="167" customWidth="1"/>
    <col min="21" max="21" width="13.5703125" style="167" customWidth="1"/>
    <col min="22" max="22" width="16" style="167" customWidth="1"/>
    <col min="23" max="23" width="23.140625" style="167" customWidth="1"/>
    <col min="24" max="24" width="12.7109375" style="167" customWidth="1"/>
    <col min="25" max="25" width="13" style="167" customWidth="1"/>
    <col min="26" max="26" width="23.28515625" style="167" customWidth="1"/>
    <col min="27" max="27" width="12.140625" style="167" customWidth="1"/>
    <col min="28" max="28" width="21.140625" style="167" customWidth="1"/>
    <col min="29" max="29" width="42.140625" style="167" bestFit="1" customWidth="1"/>
    <col min="30" max="30" width="31.5703125" style="167" bestFit="1" customWidth="1"/>
    <col min="31" max="31" width="34.42578125" style="167" bestFit="1" customWidth="1"/>
    <col min="32" max="32" width="3.5703125" style="167" customWidth="1"/>
    <col min="33" max="33" width="3" style="167" customWidth="1"/>
    <col min="34" max="59" width="9.140625" style="167"/>
    <col min="60" max="16384" width="9.140625" style="168"/>
  </cols>
  <sheetData>
    <row r="1" spans="2:59" ht="18.75" thickBot="1" x14ac:dyDescent="0.4">
      <c r="B1" s="166"/>
      <c r="C1" s="167"/>
      <c r="D1" s="167"/>
      <c r="E1" s="167"/>
      <c r="F1" s="167"/>
      <c r="G1" s="167"/>
      <c r="H1" s="167"/>
      <c r="I1" s="167"/>
      <c r="J1" s="167"/>
      <c r="K1" s="167"/>
      <c r="L1" s="167"/>
      <c r="M1" s="167"/>
      <c r="N1" s="167"/>
      <c r="O1" s="167"/>
      <c r="P1" s="167"/>
      <c r="Q1" s="167"/>
      <c r="AG1" s="165"/>
    </row>
    <row r="2" spans="2:59" ht="18.75" thickBot="1" x14ac:dyDescent="0.4">
      <c r="B2" s="805" t="s">
        <v>622</v>
      </c>
      <c r="C2" s="806"/>
      <c r="D2" s="169"/>
      <c r="G2" s="167"/>
      <c r="H2" s="167"/>
      <c r="I2" s="167"/>
      <c r="J2" s="167"/>
      <c r="K2" s="167"/>
      <c r="L2" s="167"/>
      <c r="M2" s="167"/>
      <c r="N2" s="167"/>
      <c r="O2" s="167"/>
      <c r="P2" s="167"/>
      <c r="Q2" s="167"/>
      <c r="AG2" s="170"/>
      <c r="BF2" s="168"/>
      <c r="BG2" s="168"/>
    </row>
    <row r="3" spans="2:59" s="173" customFormat="1" ht="18.75" thickBot="1" x14ac:dyDescent="0.4">
      <c r="B3" s="365" t="s">
        <v>623</v>
      </c>
      <c r="C3" s="366" t="str">
        <f>'Version Control'!C3</f>
        <v>Commercial Air Conditioner and Heat Pump</v>
      </c>
      <c r="D3" s="248"/>
      <c r="E3" s="840" t="s">
        <v>553</v>
      </c>
      <c r="F3" s="840"/>
      <c r="G3" s="807" t="s">
        <v>351</v>
      </c>
      <c r="H3" s="808"/>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2"/>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row>
    <row r="4" spans="2:59" x14ac:dyDescent="0.35">
      <c r="B4" s="367" t="s">
        <v>142</v>
      </c>
      <c r="C4" s="368" t="str">
        <f>'Version Control'!C4</f>
        <v>v2.2</v>
      </c>
      <c r="D4" s="249"/>
      <c r="E4" s="167"/>
      <c r="F4" s="249"/>
      <c r="G4" s="49" t="s">
        <v>160</v>
      </c>
      <c r="H4" s="346">
        <f>'General Info and Test Results'!C24</f>
        <v>0</v>
      </c>
      <c r="I4" s="167"/>
      <c r="J4" s="167"/>
      <c r="K4" s="167"/>
      <c r="L4" s="167"/>
      <c r="M4" s="167"/>
      <c r="N4" s="167"/>
      <c r="O4" s="167"/>
      <c r="P4" s="167"/>
      <c r="Q4" s="167"/>
      <c r="AG4" s="170"/>
    </row>
    <row r="5" spans="2:59" x14ac:dyDescent="0.35">
      <c r="B5" s="367" t="s">
        <v>475</v>
      </c>
      <c r="C5" s="369">
        <f>'Version Control'!C5</f>
        <v>43353</v>
      </c>
      <c r="D5" s="249"/>
      <c r="E5" s="167"/>
      <c r="F5" s="249"/>
      <c r="G5" s="50" t="s">
        <v>155</v>
      </c>
      <c r="H5" s="347">
        <f>'General Info and Test Results'!C25</f>
        <v>0</v>
      </c>
      <c r="I5" s="167"/>
      <c r="J5" s="167"/>
      <c r="K5" s="167"/>
      <c r="L5" s="167"/>
      <c r="M5" s="167"/>
      <c r="N5" s="167"/>
      <c r="O5" s="167"/>
      <c r="P5" s="167"/>
      <c r="Q5" s="167"/>
      <c r="AG5" s="170"/>
    </row>
    <row r="6" spans="2:59" ht="18.75" thickBot="1" x14ac:dyDescent="0.4">
      <c r="B6" s="370" t="s">
        <v>141</v>
      </c>
      <c r="C6" s="371" t="str">
        <f ca="1">MID(CELL("filename",$A$1), FIND("]", CELL("filename", $A$1))+ 1, 255)</f>
        <v>Calculations</v>
      </c>
      <c r="D6" s="249"/>
      <c r="E6" s="167"/>
      <c r="F6" s="249"/>
      <c r="G6" s="48" t="s">
        <v>201</v>
      </c>
      <c r="H6" s="348">
        <f>'General Info and Test Results'!C26</f>
        <v>0</v>
      </c>
      <c r="I6" s="167"/>
      <c r="J6" s="167"/>
      <c r="K6" s="167"/>
      <c r="L6" s="167"/>
      <c r="M6" s="167"/>
      <c r="N6" s="167"/>
      <c r="O6" s="167"/>
      <c r="P6" s="167"/>
      <c r="Q6" s="167"/>
      <c r="AG6" s="170"/>
    </row>
    <row r="7" spans="2:59" ht="40.5" customHeight="1" x14ac:dyDescent="0.35">
      <c r="B7" s="361" t="s">
        <v>140</v>
      </c>
      <c r="C7" s="362" t="str">
        <f ca="1">'Version Control'!C7</f>
        <v>Commercial Air Conditioner and Heat Pump - v2.2.xlsx</v>
      </c>
      <c r="D7" s="249"/>
      <c r="E7" s="167"/>
      <c r="F7" s="249"/>
      <c r="G7" s="167"/>
      <c r="H7" s="167"/>
      <c r="I7" s="167"/>
      <c r="J7" s="167"/>
      <c r="K7" s="167"/>
      <c r="L7" s="167"/>
      <c r="M7" s="167"/>
      <c r="N7" s="167"/>
      <c r="O7" s="167"/>
      <c r="P7" s="167"/>
      <c r="Q7" s="167"/>
      <c r="AG7" s="170"/>
    </row>
    <row r="8" spans="2:59" ht="18.75" thickBot="1" x14ac:dyDescent="0.4">
      <c r="B8" s="372" t="s">
        <v>143</v>
      </c>
      <c r="C8" s="373" t="str">
        <f>'Version Control'!C8</f>
        <v>[MM/DD/YYYY]</v>
      </c>
      <c r="D8" s="167"/>
      <c r="E8" s="167"/>
      <c r="F8" s="167"/>
      <c r="G8" s="167"/>
      <c r="H8" s="167"/>
      <c r="I8" s="167"/>
      <c r="J8" s="167"/>
      <c r="K8" s="167"/>
      <c r="L8" s="167"/>
      <c r="M8" s="167"/>
      <c r="N8" s="167"/>
      <c r="O8" s="167"/>
      <c r="P8" s="167"/>
      <c r="Q8" s="167"/>
      <c r="AG8" s="170"/>
    </row>
    <row r="9" spans="2:59" x14ac:dyDescent="0.35">
      <c r="B9" s="167"/>
      <c r="C9" s="167"/>
      <c r="D9" s="167"/>
      <c r="E9" s="167"/>
      <c r="F9" s="167"/>
      <c r="G9" s="167"/>
      <c r="H9" s="167"/>
      <c r="I9" s="167"/>
      <c r="J9" s="167"/>
      <c r="K9" s="167"/>
      <c r="L9" s="167"/>
      <c r="M9" s="167"/>
      <c r="N9" s="167"/>
      <c r="O9" s="167"/>
      <c r="P9" s="167"/>
      <c r="Q9" s="167"/>
      <c r="AG9" s="170"/>
    </row>
    <row r="10" spans="2:59" ht="18.75" thickBot="1" x14ac:dyDescent="0.4">
      <c r="B10" s="620"/>
      <c r="C10" s="620"/>
      <c r="D10" s="620"/>
      <c r="E10" s="620"/>
      <c r="F10" s="620"/>
      <c r="G10" s="620"/>
      <c r="H10" s="621"/>
      <c r="I10" s="621"/>
      <c r="J10" s="621"/>
      <c r="K10" s="621"/>
      <c r="L10" s="622"/>
      <c r="M10" s="622"/>
      <c r="N10" s="622"/>
      <c r="O10" s="622"/>
      <c r="P10" s="622"/>
      <c r="Q10" s="622"/>
      <c r="R10" s="622"/>
      <c r="S10" s="622"/>
      <c r="T10" s="622"/>
      <c r="U10" s="622"/>
      <c r="V10" s="622"/>
      <c r="W10" s="622"/>
      <c r="X10" s="622"/>
      <c r="Y10" s="622"/>
      <c r="Z10" s="622"/>
      <c r="AA10" s="622"/>
      <c r="AB10" s="622"/>
      <c r="AC10" s="622"/>
      <c r="AD10" s="622"/>
      <c r="AE10" s="622"/>
      <c r="AF10" s="622"/>
      <c r="AG10" s="170"/>
    </row>
    <row r="11" spans="2:59" ht="18.75" thickBot="1" x14ac:dyDescent="0.4">
      <c r="B11" s="1059" t="s">
        <v>409</v>
      </c>
      <c r="C11" s="1060"/>
      <c r="D11" s="1060"/>
      <c r="E11" s="1060"/>
      <c r="F11" s="1060"/>
      <c r="G11" s="1061"/>
      <c r="H11" s="620"/>
      <c r="I11" s="620"/>
      <c r="J11" s="620"/>
      <c r="K11" s="620"/>
      <c r="L11" s="620"/>
      <c r="M11" s="620"/>
      <c r="N11" s="620"/>
      <c r="O11" s="622"/>
      <c r="P11" s="622"/>
      <c r="Q11" s="622"/>
      <c r="R11" s="622"/>
      <c r="S11" s="622"/>
      <c r="T11" s="622"/>
      <c r="U11" s="622"/>
      <c r="V11" s="622"/>
      <c r="W11" s="622"/>
      <c r="X11" s="622"/>
      <c r="Y11" s="622"/>
      <c r="Z11" s="622"/>
      <c r="AA11" s="622"/>
      <c r="AB11" s="622"/>
      <c r="AC11" s="622"/>
      <c r="AD11" s="622"/>
      <c r="AE11" s="622"/>
      <c r="AF11" s="622"/>
      <c r="AG11" s="170"/>
      <c r="BG11" s="168"/>
    </row>
    <row r="12" spans="2:59" x14ac:dyDescent="0.35">
      <c r="B12" s="623" t="s">
        <v>137</v>
      </c>
      <c r="C12" s="624" t="s">
        <v>138</v>
      </c>
      <c r="D12" s="1041" t="s">
        <v>139</v>
      </c>
      <c r="E12" s="1042"/>
      <c r="F12" s="1042"/>
      <c r="G12" s="1043"/>
      <c r="H12" s="620"/>
      <c r="I12" s="620"/>
      <c r="J12" s="620"/>
      <c r="K12" s="620"/>
      <c r="L12" s="620"/>
      <c r="M12" s="620"/>
      <c r="N12" s="620"/>
      <c r="O12" s="622"/>
      <c r="P12" s="622"/>
      <c r="Q12" s="622"/>
      <c r="R12" s="622"/>
      <c r="S12" s="622"/>
      <c r="T12" s="622"/>
      <c r="U12" s="622"/>
      <c r="V12" s="622"/>
      <c r="W12" s="622"/>
      <c r="X12" s="622"/>
      <c r="Y12" s="622"/>
      <c r="Z12" s="622"/>
      <c r="AA12" s="622"/>
      <c r="AB12" s="622"/>
      <c r="AC12" s="622"/>
      <c r="AD12" s="622"/>
      <c r="AE12" s="622"/>
      <c r="AF12" s="622"/>
      <c r="AG12" s="170"/>
      <c r="BG12" s="168"/>
    </row>
    <row r="13" spans="2:59" x14ac:dyDescent="0.35">
      <c r="B13" s="625" t="s">
        <v>399</v>
      </c>
      <c r="C13" s="626" t="s">
        <v>400</v>
      </c>
      <c r="D13" s="627" t="s">
        <v>126</v>
      </c>
      <c r="E13" s="628"/>
      <c r="F13" s="628"/>
      <c r="G13" s="629"/>
      <c r="H13" s="620"/>
      <c r="I13" s="620"/>
      <c r="J13" s="620"/>
      <c r="K13" s="620"/>
      <c r="L13" s="620"/>
      <c r="M13" s="620"/>
      <c r="N13" s="620"/>
      <c r="O13" s="622"/>
      <c r="P13" s="622"/>
      <c r="Q13" s="622"/>
      <c r="R13" s="622"/>
      <c r="S13" s="622"/>
      <c r="T13" s="622"/>
      <c r="U13" s="622"/>
      <c r="V13" s="622"/>
      <c r="W13" s="622"/>
      <c r="X13" s="622"/>
      <c r="Y13" s="622"/>
      <c r="Z13" s="622"/>
      <c r="AA13" s="622"/>
      <c r="AB13" s="622"/>
      <c r="AC13" s="622"/>
      <c r="AD13" s="622"/>
      <c r="AE13" s="622"/>
      <c r="AF13" s="622"/>
      <c r="AG13" s="170"/>
      <c r="BG13" s="168"/>
    </row>
    <row r="14" spans="2:59" x14ac:dyDescent="0.35">
      <c r="B14" s="630" t="s">
        <v>113</v>
      </c>
      <c r="C14" s="631" t="s">
        <v>127</v>
      </c>
      <c r="D14" s="632" t="s">
        <v>125</v>
      </c>
      <c r="E14" s="633"/>
      <c r="F14" s="633"/>
      <c r="G14" s="634"/>
      <c r="H14" s="620"/>
      <c r="I14" s="620"/>
      <c r="J14" s="620"/>
      <c r="K14" s="620"/>
      <c r="L14" s="620"/>
      <c r="M14" s="620"/>
      <c r="N14" s="620"/>
      <c r="O14" s="622"/>
      <c r="P14" s="622"/>
      <c r="Q14" s="622"/>
      <c r="R14" s="622"/>
      <c r="S14" s="622"/>
      <c r="T14" s="622"/>
      <c r="U14" s="622"/>
      <c r="V14" s="622"/>
      <c r="W14" s="622"/>
      <c r="X14" s="622"/>
      <c r="Y14" s="622"/>
      <c r="Z14" s="622"/>
      <c r="AA14" s="622"/>
      <c r="AB14" s="622"/>
      <c r="AC14" s="622"/>
      <c r="AD14" s="622"/>
      <c r="AE14" s="622"/>
      <c r="AF14" s="622"/>
      <c r="AG14" s="170"/>
      <c r="BG14" s="168"/>
    </row>
    <row r="15" spans="2:59" x14ac:dyDescent="0.35">
      <c r="B15" s="630" t="s">
        <v>401</v>
      </c>
      <c r="C15" s="631" t="s">
        <v>49</v>
      </c>
      <c r="D15" s="632" t="s">
        <v>410</v>
      </c>
      <c r="E15" s="633"/>
      <c r="F15" s="633"/>
      <c r="G15" s="634"/>
      <c r="H15" s="620"/>
      <c r="I15" s="620"/>
      <c r="J15" s="620"/>
      <c r="K15" s="620"/>
      <c r="L15" s="620"/>
      <c r="M15" s="620"/>
      <c r="N15" s="620"/>
      <c r="O15" s="622"/>
      <c r="P15" s="622"/>
      <c r="Q15" s="622"/>
      <c r="R15" s="622"/>
      <c r="S15" s="622"/>
      <c r="T15" s="622"/>
      <c r="U15" s="622"/>
      <c r="V15" s="622"/>
      <c r="W15" s="622"/>
      <c r="X15" s="622"/>
      <c r="Y15" s="622"/>
      <c r="Z15" s="622"/>
      <c r="AA15" s="622"/>
      <c r="AB15" s="622"/>
      <c r="AC15" s="622"/>
      <c r="AD15" s="622"/>
      <c r="AE15" s="622"/>
      <c r="AF15" s="622"/>
      <c r="AG15" s="170"/>
      <c r="BG15" s="168"/>
    </row>
    <row r="16" spans="2:59" x14ac:dyDescent="0.35">
      <c r="B16" s="630" t="s">
        <v>110</v>
      </c>
      <c r="C16" s="631" t="s">
        <v>49</v>
      </c>
      <c r="D16" s="632" t="s">
        <v>411</v>
      </c>
      <c r="E16" s="633"/>
      <c r="F16" s="633"/>
      <c r="G16" s="634"/>
      <c r="H16" s="620"/>
      <c r="I16" s="620"/>
      <c r="J16" s="620"/>
      <c r="K16" s="620"/>
      <c r="L16" s="620"/>
      <c r="M16" s="620"/>
      <c r="N16" s="620"/>
      <c r="O16" s="622"/>
      <c r="P16" s="622"/>
      <c r="Q16" s="622"/>
      <c r="R16" s="622"/>
      <c r="S16" s="622"/>
      <c r="T16" s="622"/>
      <c r="U16" s="622"/>
      <c r="V16" s="622"/>
      <c r="W16" s="622"/>
      <c r="X16" s="622"/>
      <c r="Y16" s="622"/>
      <c r="Z16" s="622"/>
      <c r="AA16" s="622"/>
      <c r="AB16" s="622"/>
      <c r="AC16" s="622"/>
      <c r="AD16" s="622"/>
      <c r="AE16" s="622"/>
      <c r="AF16" s="622"/>
      <c r="AG16" s="170"/>
      <c r="BG16" s="168"/>
    </row>
    <row r="17" spans="1:59" x14ac:dyDescent="0.35">
      <c r="B17" s="630" t="s">
        <v>111</v>
      </c>
      <c r="C17" s="631" t="s">
        <v>127</v>
      </c>
      <c r="D17" s="632" t="s">
        <v>412</v>
      </c>
      <c r="E17" s="633"/>
      <c r="F17" s="633"/>
      <c r="G17" s="634"/>
      <c r="H17" s="620"/>
      <c r="I17" s="620"/>
      <c r="J17" s="620"/>
      <c r="K17" s="620"/>
      <c r="L17" s="620"/>
      <c r="M17" s="620"/>
      <c r="N17" s="620"/>
      <c r="O17" s="622"/>
      <c r="P17" s="622"/>
      <c r="Q17" s="622"/>
      <c r="R17" s="622"/>
      <c r="S17" s="622"/>
      <c r="T17" s="622"/>
      <c r="U17" s="622"/>
      <c r="V17" s="622"/>
      <c r="W17" s="622"/>
      <c r="X17" s="622"/>
      <c r="Y17" s="622"/>
      <c r="Z17" s="622"/>
      <c r="AA17" s="622"/>
      <c r="AB17" s="622"/>
      <c r="AC17" s="622"/>
      <c r="AD17" s="622"/>
      <c r="AE17" s="622"/>
      <c r="AF17" s="622"/>
      <c r="AG17" s="170"/>
      <c r="BG17" s="168"/>
    </row>
    <row r="18" spans="1:59" x14ac:dyDescent="0.35">
      <c r="B18" s="630" t="s">
        <v>402</v>
      </c>
      <c r="C18" s="631" t="s">
        <v>112</v>
      </c>
      <c r="D18" s="632" t="s">
        <v>413</v>
      </c>
      <c r="E18" s="633"/>
      <c r="F18" s="633"/>
      <c r="G18" s="634"/>
      <c r="H18" s="620"/>
      <c r="I18" s="620"/>
      <c r="J18" s="620"/>
      <c r="K18" s="620"/>
      <c r="L18" s="620"/>
      <c r="M18" s="620"/>
      <c r="N18" s="620"/>
      <c r="O18" s="622"/>
      <c r="P18" s="622"/>
      <c r="Q18" s="622"/>
      <c r="R18" s="622"/>
      <c r="S18" s="622"/>
      <c r="T18" s="622"/>
      <c r="U18" s="622"/>
      <c r="V18" s="622"/>
      <c r="W18" s="622"/>
      <c r="X18" s="622"/>
      <c r="Y18" s="622"/>
      <c r="Z18" s="622"/>
      <c r="AA18" s="622"/>
      <c r="AB18" s="622"/>
      <c r="AC18" s="622"/>
      <c r="AD18" s="622"/>
      <c r="AE18" s="622"/>
      <c r="AF18" s="622"/>
      <c r="AG18" s="170"/>
      <c r="BG18" s="168"/>
    </row>
    <row r="19" spans="1:59" x14ac:dyDescent="0.35">
      <c r="B19" s="630" t="s">
        <v>114</v>
      </c>
      <c r="C19" s="631" t="s">
        <v>127</v>
      </c>
      <c r="D19" s="632" t="s">
        <v>414</v>
      </c>
      <c r="E19" s="633"/>
      <c r="F19" s="633"/>
      <c r="G19" s="634"/>
      <c r="H19" s="620"/>
      <c r="I19" s="620"/>
      <c r="J19" s="620"/>
      <c r="K19" s="620"/>
      <c r="L19" s="620"/>
      <c r="M19" s="620"/>
      <c r="N19" s="620"/>
      <c r="O19" s="622"/>
      <c r="P19" s="622"/>
      <c r="Q19" s="622"/>
      <c r="R19" s="622"/>
      <c r="S19" s="622"/>
      <c r="T19" s="622"/>
      <c r="U19" s="622"/>
      <c r="V19" s="622"/>
      <c r="W19" s="622"/>
      <c r="X19" s="622"/>
      <c r="Y19" s="622"/>
      <c r="Z19" s="622"/>
      <c r="AA19" s="622"/>
      <c r="AB19" s="622"/>
      <c r="AC19" s="622"/>
      <c r="AD19" s="622"/>
      <c r="AE19" s="622"/>
      <c r="AF19" s="622"/>
      <c r="AG19" s="170"/>
      <c r="BG19" s="168"/>
    </row>
    <row r="20" spans="1:59" x14ac:dyDescent="0.35">
      <c r="B20" s="630" t="s">
        <v>116</v>
      </c>
      <c r="C20" s="631" t="s">
        <v>127</v>
      </c>
      <c r="D20" s="632" t="s">
        <v>415</v>
      </c>
      <c r="E20" s="633"/>
      <c r="F20" s="633"/>
      <c r="G20" s="634"/>
      <c r="H20" s="620"/>
      <c r="I20" s="620"/>
      <c r="J20" s="620"/>
      <c r="K20" s="620"/>
      <c r="L20" s="620"/>
      <c r="M20" s="620"/>
      <c r="N20" s="620"/>
      <c r="O20" s="622"/>
      <c r="P20" s="622"/>
      <c r="Q20" s="622"/>
      <c r="R20" s="622"/>
      <c r="S20" s="622"/>
      <c r="T20" s="622"/>
      <c r="U20" s="622"/>
      <c r="V20" s="622"/>
      <c r="W20" s="622"/>
      <c r="X20" s="622"/>
      <c r="Y20" s="622"/>
      <c r="Z20" s="622"/>
      <c r="AA20" s="622"/>
      <c r="AB20" s="622"/>
      <c r="AC20" s="622"/>
      <c r="AD20" s="622"/>
      <c r="AE20" s="622"/>
      <c r="AF20" s="622"/>
      <c r="AG20" s="170"/>
      <c r="BG20" s="168"/>
    </row>
    <row r="21" spans="1:59" ht="18.75" thickBot="1" x14ac:dyDescent="0.4">
      <c r="B21" s="635" t="s">
        <v>120</v>
      </c>
      <c r="C21" s="636" t="s">
        <v>127</v>
      </c>
      <c r="D21" s="637" t="s">
        <v>416</v>
      </c>
      <c r="E21" s="638"/>
      <c r="F21" s="638"/>
      <c r="G21" s="639"/>
      <c r="H21" s="620"/>
      <c r="I21" s="620"/>
      <c r="J21" s="620"/>
      <c r="K21" s="620"/>
      <c r="L21" s="620"/>
      <c r="M21" s="620"/>
      <c r="N21" s="620"/>
      <c r="O21" s="622"/>
      <c r="P21" s="622"/>
      <c r="Q21" s="622"/>
      <c r="R21" s="622"/>
      <c r="S21" s="622"/>
      <c r="T21" s="622"/>
      <c r="U21" s="622"/>
      <c r="V21" s="622"/>
      <c r="W21" s="622"/>
      <c r="X21" s="622"/>
      <c r="Y21" s="622"/>
      <c r="Z21" s="622"/>
      <c r="AA21" s="622"/>
      <c r="AB21" s="622"/>
      <c r="AC21" s="622"/>
      <c r="AD21" s="622"/>
      <c r="AE21" s="622"/>
      <c r="AF21" s="622"/>
      <c r="AG21" s="170"/>
      <c r="BG21" s="168"/>
    </row>
    <row r="22" spans="1:59" ht="18.75" thickBot="1" x14ac:dyDescent="0.4">
      <c r="A22" s="71"/>
      <c r="B22" s="640"/>
      <c r="C22" s="640"/>
      <c r="D22" s="640"/>
      <c r="E22" s="640"/>
      <c r="F22" s="640"/>
      <c r="G22" s="640"/>
      <c r="H22" s="640"/>
      <c r="I22" s="640"/>
      <c r="J22" s="640"/>
      <c r="K22" s="640"/>
      <c r="L22" s="640"/>
      <c r="M22" s="640"/>
      <c r="N22" s="640"/>
      <c r="O22" s="640"/>
      <c r="P22" s="640"/>
      <c r="Q22" s="641"/>
      <c r="R22" s="622"/>
      <c r="S22" s="622"/>
      <c r="T22" s="622"/>
      <c r="U22" s="622"/>
      <c r="V22" s="622"/>
      <c r="W22" s="622"/>
      <c r="X22" s="622"/>
      <c r="Y22" s="622"/>
      <c r="Z22" s="622"/>
      <c r="AA22" s="622"/>
      <c r="AB22" s="622"/>
      <c r="AC22" s="622"/>
      <c r="AD22" s="622"/>
      <c r="AE22" s="622"/>
      <c r="AF22" s="622"/>
      <c r="AG22" s="170"/>
    </row>
    <row r="23" spans="1:59" ht="18.75" thickBot="1" x14ac:dyDescent="0.4">
      <c r="A23" s="71"/>
      <c r="B23" s="1044" t="s">
        <v>166</v>
      </c>
      <c r="C23" s="1045"/>
      <c r="D23" s="1045"/>
      <c r="E23" s="1045"/>
      <c r="F23" s="1045"/>
      <c r="G23" s="1045"/>
      <c r="H23" s="1045"/>
      <c r="I23" s="1045"/>
      <c r="J23" s="1046"/>
      <c r="K23" s="640"/>
      <c r="L23" s="640"/>
      <c r="M23" s="640"/>
      <c r="N23" s="640"/>
      <c r="O23" s="640"/>
      <c r="P23" s="640"/>
      <c r="Q23" s="641"/>
      <c r="R23" s="622"/>
      <c r="S23" s="622"/>
      <c r="T23" s="622"/>
      <c r="U23" s="622"/>
      <c r="V23" s="622"/>
      <c r="W23" s="622"/>
      <c r="X23" s="622"/>
      <c r="Y23" s="622"/>
      <c r="Z23" s="622"/>
      <c r="AA23" s="622"/>
      <c r="AB23" s="622"/>
      <c r="AC23" s="622"/>
      <c r="AD23" s="622"/>
      <c r="AE23" s="622"/>
      <c r="AF23" s="622"/>
      <c r="AG23" s="170"/>
    </row>
    <row r="24" spans="1:59" x14ac:dyDescent="0.35">
      <c r="B24" s="642"/>
      <c r="C24" s="1068" t="s">
        <v>163</v>
      </c>
      <c r="D24" s="1069"/>
      <c r="E24" s="1069"/>
      <c r="F24" s="1070"/>
      <c r="G24" s="1068" t="s">
        <v>166</v>
      </c>
      <c r="H24" s="1070"/>
      <c r="I24" s="1068" t="s">
        <v>51</v>
      </c>
      <c r="J24" s="1076"/>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170"/>
    </row>
    <row r="25" spans="1:59" x14ac:dyDescent="0.35">
      <c r="B25" s="643"/>
      <c r="C25" s="1071"/>
      <c r="D25" s="1072"/>
      <c r="E25" s="1072"/>
      <c r="F25" s="1073"/>
      <c r="G25" s="1071"/>
      <c r="H25" s="1073"/>
      <c r="I25" s="1077"/>
      <c r="J25" s="1078"/>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170"/>
    </row>
    <row r="26" spans="1:59" ht="54" x14ac:dyDescent="0.35">
      <c r="B26" s="643"/>
      <c r="C26" s="1074" t="s">
        <v>164</v>
      </c>
      <c r="D26" s="1075"/>
      <c r="E26" s="1074" t="s">
        <v>165</v>
      </c>
      <c r="F26" s="1075"/>
      <c r="G26" s="644" t="s">
        <v>305</v>
      </c>
      <c r="H26" s="645" t="s">
        <v>50</v>
      </c>
      <c r="I26" s="1077"/>
      <c r="J26" s="1078"/>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170"/>
    </row>
    <row r="27" spans="1:59" x14ac:dyDescent="0.35">
      <c r="B27" s="646" t="s">
        <v>167</v>
      </c>
      <c r="C27" s="647" t="str">
        <f>'A Test Recorded Data'!D81</f>
        <v/>
      </c>
      <c r="D27" s="648" t="s">
        <v>49</v>
      </c>
      <c r="E27" s="647" t="str">
        <f>'A Test Recorded Data'!D86</f>
        <v/>
      </c>
      <c r="F27" s="648" t="s">
        <v>49</v>
      </c>
      <c r="G27" s="647" t="e">
        <f>(IF(ABS((C27-E27)/C27)&lt;=0.06,"Yes","No"))</f>
        <v>#VALUE!</v>
      </c>
      <c r="H27" s="647" t="e">
        <f t="shared" ref="H27:H58" si="0">ABS((C27-E27)/C27)</f>
        <v>#VALUE!</v>
      </c>
      <c r="I27" s="647">
        <f>'A Test Recorded Data'!D29</f>
        <v>0</v>
      </c>
      <c r="J27" s="649" t="s">
        <v>112</v>
      </c>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170"/>
    </row>
    <row r="28" spans="1:59" x14ac:dyDescent="0.35">
      <c r="B28" s="646" t="s">
        <v>168</v>
      </c>
      <c r="C28" s="647" t="str">
        <f>'A Test Recorded Data'!D81</f>
        <v/>
      </c>
      <c r="D28" s="648" t="s">
        <v>49</v>
      </c>
      <c r="E28" s="647" t="str">
        <f>'A Test Recorded Data'!D86</f>
        <v/>
      </c>
      <c r="F28" s="648" t="s">
        <v>49</v>
      </c>
      <c r="G28" s="647" t="e">
        <f t="shared" ref="G28:G58" si="1">IF(ABS((C28-E28)/C28)&lt;=0.06,"Yes","No")</f>
        <v>#VALUE!</v>
      </c>
      <c r="H28" s="647" t="e">
        <f t="shared" si="0"/>
        <v>#VALUE!</v>
      </c>
      <c r="I28" s="647">
        <f>'A Test Recorded Data'!D29</f>
        <v>0</v>
      </c>
      <c r="J28" s="649" t="s">
        <v>112</v>
      </c>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170"/>
    </row>
    <row r="29" spans="1:59" x14ac:dyDescent="0.35">
      <c r="B29" s="646" t="s">
        <v>169</v>
      </c>
      <c r="C29" s="647" t="str">
        <f>'A Test Recorded Data'!D151</f>
        <v/>
      </c>
      <c r="D29" s="648" t="s">
        <v>49</v>
      </c>
      <c r="E29" s="647" t="str">
        <f>'A Test Recorded Data'!D156</f>
        <v/>
      </c>
      <c r="F29" s="648" t="s">
        <v>49</v>
      </c>
      <c r="G29" s="647" t="e">
        <f t="shared" si="1"/>
        <v>#VALUE!</v>
      </c>
      <c r="H29" s="647" t="e">
        <f t="shared" si="0"/>
        <v>#VALUE!</v>
      </c>
      <c r="I29" s="647">
        <f>'A Test Recorded Data'!D99</f>
        <v>0</v>
      </c>
      <c r="J29" s="649" t="s">
        <v>112</v>
      </c>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170"/>
    </row>
    <row r="30" spans="1:59" x14ac:dyDescent="0.35">
      <c r="B30" s="646" t="s">
        <v>176</v>
      </c>
      <c r="C30" s="647" t="str">
        <f>'B Test Recorded Data'!D80</f>
        <v/>
      </c>
      <c r="D30" s="648" t="s">
        <v>49</v>
      </c>
      <c r="E30" s="647" t="str">
        <f>'B Test Recorded Data'!D85</f>
        <v/>
      </c>
      <c r="F30" s="648" t="s">
        <v>49</v>
      </c>
      <c r="G30" s="647" t="e">
        <f t="shared" si="1"/>
        <v>#VALUE!</v>
      </c>
      <c r="H30" s="647" t="e">
        <f t="shared" si="0"/>
        <v>#VALUE!</v>
      </c>
      <c r="I30" s="647">
        <f>'B Test Recorded Data'!D28</f>
        <v>0</v>
      </c>
      <c r="J30" s="649" t="s">
        <v>112</v>
      </c>
      <c r="K30" s="622"/>
      <c r="L30" s="622"/>
      <c r="M30" s="622"/>
      <c r="N30" s="622"/>
      <c r="O30" s="622"/>
      <c r="P30" s="622"/>
      <c r="Q30" s="622"/>
      <c r="R30" s="622"/>
      <c r="S30" s="622"/>
      <c r="T30" s="622"/>
      <c r="U30" s="622"/>
      <c r="V30" s="622"/>
      <c r="W30" s="622"/>
      <c r="X30" s="622"/>
      <c r="Y30" s="622"/>
      <c r="Z30" s="622"/>
      <c r="AA30" s="622"/>
      <c r="AB30" s="622"/>
      <c r="AC30" s="622"/>
      <c r="AD30" s="622"/>
      <c r="AE30" s="622"/>
      <c r="AF30" s="622"/>
      <c r="AG30" s="170"/>
    </row>
    <row r="31" spans="1:59" x14ac:dyDescent="0.35">
      <c r="B31" s="646" t="s">
        <v>177</v>
      </c>
      <c r="C31" s="647" t="str">
        <f>'B Test Recorded Data'!D80</f>
        <v/>
      </c>
      <c r="D31" s="648" t="s">
        <v>49</v>
      </c>
      <c r="E31" s="647" t="str">
        <f>'B Test Recorded Data'!D85</f>
        <v/>
      </c>
      <c r="F31" s="648" t="s">
        <v>49</v>
      </c>
      <c r="G31" s="647" t="e">
        <f t="shared" si="1"/>
        <v>#VALUE!</v>
      </c>
      <c r="H31" s="647" t="e">
        <f t="shared" si="0"/>
        <v>#VALUE!</v>
      </c>
      <c r="I31" s="647">
        <f>'B Test Recorded Data'!D28</f>
        <v>0</v>
      </c>
      <c r="J31" s="649" t="s">
        <v>112</v>
      </c>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170"/>
    </row>
    <row r="32" spans="1:59" x14ac:dyDescent="0.35">
      <c r="B32" s="646" t="s">
        <v>178</v>
      </c>
      <c r="C32" s="647" t="str">
        <f>'B Test Recorded Data'!D150</f>
        <v/>
      </c>
      <c r="D32" s="648" t="s">
        <v>49</v>
      </c>
      <c r="E32" s="647" t="str">
        <f>'B Test Recorded Data'!D155</f>
        <v/>
      </c>
      <c r="F32" s="648" t="s">
        <v>49</v>
      </c>
      <c r="G32" s="647" t="e">
        <f t="shared" si="1"/>
        <v>#VALUE!</v>
      </c>
      <c r="H32" s="647" t="e">
        <f t="shared" si="0"/>
        <v>#VALUE!</v>
      </c>
      <c r="I32" s="647">
        <f>'B Test Recorded Data'!D98</f>
        <v>0</v>
      </c>
      <c r="J32" s="649" t="s">
        <v>112</v>
      </c>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170"/>
    </row>
    <row r="33" spans="2:33" x14ac:dyDescent="0.35">
      <c r="B33" s="646" t="s">
        <v>199</v>
      </c>
      <c r="C33" s="647" t="str">
        <f>'Optional C Test Recorded Data'!D73</f>
        <v/>
      </c>
      <c r="D33" s="648" t="s">
        <v>49</v>
      </c>
      <c r="E33" s="647" t="str">
        <f>'Optional C Test Recorded Data'!D78</f>
        <v/>
      </c>
      <c r="F33" s="648" t="s">
        <v>49</v>
      </c>
      <c r="G33" s="647" t="e">
        <f t="shared" si="1"/>
        <v>#VALUE!</v>
      </c>
      <c r="H33" s="647" t="e">
        <f t="shared" si="0"/>
        <v>#VALUE!</v>
      </c>
      <c r="I33" s="647">
        <f>'Optional C Test Recorded Data'!D21</f>
        <v>0</v>
      </c>
      <c r="J33" s="649" t="s">
        <v>112</v>
      </c>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170"/>
    </row>
    <row r="34" spans="2:33" x14ac:dyDescent="0.35">
      <c r="B34" s="646" t="s">
        <v>171</v>
      </c>
      <c r="C34" s="647" t="str">
        <f>'Optional C Test Recorded Data'!D73</f>
        <v/>
      </c>
      <c r="D34" s="648" t="s">
        <v>49</v>
      </c>
      <c r="E34" s="647" t="str">
        <f>'Optional C Test Recorded Data'!D78</f>
        <v/>
      </c>
      <c r="F34" s="648" t="s">
        <v>49</v>
      </c>
      <c r="G34" s="647" t="e">
        <f t="shared" si="1"/>
        <v>#VALUE!</v>
      </c>
      <c r="H34" s="647" t="e">
        <f t="shared" si="0"/>
        <v>#VALUE!</v>
      </c>
      <c r="I34" s="647">
        <f>'Optional C Test Recorded Data'!D21</f>
        <v>0</v>
      </c>
      <c r="J34" s="649" t="s">
        <v>112</v>
      </c>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170"/>
    </row>
    <row r="35" spans="2:33" x14ac:dyDescent="0.35">
      <c r="B35" s="646" t="s">
        <v>173</v>
      </c>
      <c r="C35" s="647" t="str">
        <f>'Optional C Test Recorded Data'!D145</f>
        <v/>
      </c>
      <c r="D35" s="648" t="s">
        <v>49</v>
      </c>
      <c r="E35" s="647" t="str">
        <f>'Optional C Test Recorded Data'!D150</f>
        <v/>
      </c>
      <c r="F35" s="648" t="s">
        <v>49</v>
      </c>
      <c r="G35" s="647" t="e">
        <f t="shared" si="1"/>
        <v>#VALUE!</v>
      </c>
      <c r="H35" s="647" t="e">
        <f t="shared" si="0"/>
        <v>#VALUE!</v>
      </c>
      <c r="I35" s="647">
        <f>'Optional C Test Recorded Data'!D93</f>
        <v>0</v>
      </c>
      <c r="J35" s="649" t="s">
        <v>112</v>
      </c>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170"/>
    </row>
    <row r="36" spans="2:33" x14ac:dyDescent="0.35">
      <c r="B36" s="646" t="s">
        <v>200</v>
      </c>
      <c r="C36" s="647" t="str">
        <f>'Optional D Test Recorded Data'!D47</f>
        <v/>
      </c>
      <c r="D36" s="648" t="s">
        <v>49</v>
      </c>
      <c r="E36" s="647" t="str">
        <f>'Optional D Test Recorded Data'!D52</f>
        <v/>
      </c>
      <c r="F36" s="648" t="s">
        <v>49</v>
      </c>
      <c r="G36" s="647" t="e">
        <f t="shared" si="1"/>
        <v>#VALUE!</v>
      </c>
      <c r="H36" s="647" t="e">
        <f t="shared" si="0"/>
        <v>#VALUE!</v>
      </c>
      <c r="I36" s="647">
        <f>'Optional D Test Recorded Data'!D18</f>
        <v>0</v>
      </c>
      <c r="J36" s="649" t="s">
        <v>112</v>
      </c>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170"/>
    </row>
    <row r="37" spans="2:33" x14ac:dyDescent="0.35">
      <c r="B37" s="646" t="s">
        <v>175</v>
      </c>
      <c r="C37" s="647" t="str">
        <f>'Optional D Test Recorded Data'!D47</f>
        <v/>
      </c>
      <c r="D37" s="648" t="s">
        <v>49</v>
      </c>
      <c r="E37" s="647" t="str">
        <f>'Optional D Test Recorded Data'!D52</f>
        <v/>
      </c>
      <c r="F37" s="648" t="s">
        <v>49</v>
      </c>
      <c r="G37" s="647" t="e">
        <f t="shared" si="1"/>
        <v>#VALUE!</v>
      </c>
      <c r="H37" s="647" t="e">
        <f t="shared" si="0"/>
        <v>#VALUE!</v>
      </c>
      <c r="I37" s="647">
        <f>'Optional D Test Recorded Data'!D18</f>
        <v>0</v>
      </c>
      <c r="J37" s="649" t="s">
        <v>112</v>
      </c>
      <c r="K37" s="622"/>
      <c r="L37" s="622"/>
      <c r="M37" s="622"/>
      <c r="N37" s="622"/>
      <c r="O37" s="622"/>
      <c r="P37" s="622"/>
      <c r="Q37" s="622"/>
      <c r="R37" s="622"/>
      <c r="S37" s="622"/>
      <c r="T37" s="622"/>
      <c r="U37" s="622"/>
      <c r="V37" s="622"/>
      <c r="W37" s="622"/>
      <c r="X37" s="622"/>
      <c r="Y37" s="622"/>
      <c r="Z37" s="622"/>
      <c r="AA37" s="622"/>
      <c r="AB37" s="622"/>
      <c r="AC37" s="622"/>
      <c r="AD37" s="622"/>
      <c r="AE37" s="622"/>
      <c r="AF37" s="622"/>
      <c r="AG37" s="170"/>
    </row>
    <row r="38" spans="2:33" x14ac:dyDescent="0.35">
      <c r="B38" s="646" t="s">
        <v>174</v>
      </c>
      <c r="C38" s="647" t="str">
        <f>'Optional D Test Recorded Data'!D91</f>
        <v/>
      </c>
      <c r="D38" s="648" t="s">
        <v>49</v>
      </c>
      <c r="E38" s="647" t="str">
        <f>'Optional D Test Recorded Data'!D96</f>
        <v/>
      </c>
      <c r="F38" s="648" t="s">
        <v>49</v>
      </c>
      <c r="G38" s="647" t="e">
        <f t="shared" si="1"/>
        <v>#VALUE!</v>
      </c>
      <c r="H38" s="647" t="e">
        <f t="shared" si="0"/>
        <v>#VALUE!</v>
      </c>
      <c r="I38" s="647">
        <f>'Optional D Test Recorded Data'!D62</f>
        <v>0</v>
      </c>
      <c r="J38" s="649" t="s">
        <v>112</v>
      </c>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170"/>
    </row>
    <row r="39" spans="2:33" x14ac:dyDescent="0.35">
      <c r="B39" s="646" t="s">
        <v>172</v>
      </c>
      <c r="C39" s="647" t="str">
        <f>'F Test Recorded Data'!D79</f>
        <v/>
      </c>
      <c r="D39" s="648" t="s">
        <v>49</v>
      </c>
      <c r="E39" s="647" t="str">
        <f>'F Test Recorded Data'!D84</f>
        <v/>
      </c>
      <c r="F39" s="648" t="s">
        <v>49</v>
      </c>
      <c r="G39" s="647" t="e">
        <f t="shared" si="1"/>
        <v>#VALUE!</v>
      </c>
      <c r="H39" s="647" t="e">
        <f t="shared" si="0"/>
        <v>#VALUE!</v>
      </c>
      <c r="I39" s="647">
        <f>'F Test Recorded Data'!D28</f>
        <v>0</v>
      </c>
      <c r="J39" s="649" t="s">
        <v>112</v>
      </c>
      <c r="K39" s="622"/>
      <c r="L39" s="622"/>
      <c r="M39" s="622"/>
      <c r="N39" s="622"/>
      <c r="O39" s="622"/>
      <c r="P39" s="622"/>
      <c r="Q39" s="622"/>
      <c r="R39" s="622"/>
      <c r="S39" s="621"/>
      <c r="T39" s="621"/>
      <c r="U39" s="621"/>
      <c r="V39" s="621"/>
      <c r="W39" s="621"/>
      <c r="X39" s="622"/>
      <c r="Y39" s="622"/>
      <c r="Z39" s="622"/>
      <c r="AA39" s="622"/>
      <c r="AB39" s="622"/>
      <c r="AC39" s="622"/>
      <c r="AD39" s="622"/>
      <c r="AE39" s="622"/>
      <c r="AF39" s="622"/>
      <c r="AG39" s="170"/>
    </row>
    <row r="40" spans="2:33" x14ac:dyDescent="0.35">
      <c r="B40" s="646" t="s">
        <v>170</v>
      </c>
      <c r="C40" s="647" t="str">
        <f>'Ev Test Recorded Data'!D74</f>
        <v/>
      </c>
      <c r="D40" s="648" t="s">
        <v>49</v>
      </c>
      <c r="E40" s="647" t="str">
        <f>'Ev Test Recorded Data'!D79</f>
        <v/>
      </c>
      <c r="F40" s="648" t="s">
        <v>49</v>
      </c>
      <c r="G40" s="647" t="e">
        <f t="shared" si="1"/>
        <v>#VALUE!</v>
      </c>
      <c r="H40" s="647" t="e">
        <f t="shared" si="0"/>
        <v>#VALUE!</v>
      </c>
      <c r="I40" s="647">
        <f>'Ev Test Recorded Data'!D21</f>
        <v>0</v>
      </c>
      <c r="J40" s="649" t="s">
        <v>112</v>
      </c>
      <c r="K40" s="622"/>
      <c r="L40" s="622"/>
      <c r="M40" s="622"/>
      <c r="N40" s="622"/>
      <c r="O40" s="622"/>
      <c r="P40" s="622"/>
      <c r="Q40" s="622"/>
      <c r="R40" s="622"/>
      <c r="S40" s="621"/>
      <c r="T40" s="621"/>
      <c r="U40" s="621"/>
      <c r="V40" s="621"/>
      <c r="W40" s="621"/>
      <c r="X40" s="622"/>
      <c r="Y40" s="622"/>
      <c r="Z40" s="622"/>
      <c r="AA40" s="622"/>
      <c r="AB40" s="622"/>
      <c r="AC40" s="622"/>
      <c r="AD40" s="622"/>
      <c r="AE40" s="622"/>
      <c r="AF40" s="622"/>
      <c r="AG40" s="170"/>
    </row>
    <row r="41" spans="2:33" x14ac:dyDescent="0.35">
      <c r="B41" s="646" t="s">
        <v>179</v>
      </c>
      <c r="C41" s="647" t="str">
        <f>'Optional G Test Recorded Data'!D73</f>
        <v/>
      </c>
      <c r="D41" s="648" t="s">
        <v>49</v>
      </c>
      <c r="E41" s="647" t="str">
        <f>'Optional G Test Recorded Data'!D78</f>
        <v/>
      </c>
      <c r="F41" s="648" t="s">
        <v>49</v>
      </c>
      <c r="G41" s="647" t="e">
        <f t="shared" si="1"/>
        <v>#VALUE!</v>
      </c>
      <c r="H41" s="647" t="e">
        <f t="shared" si="0"/>
        <v>#VALUE!</v>
      </c>
      <c r="I41" s="647">
        <f>'Optional G Test Recorded Data'!D21</f>
        <v>0</v>
      </c>
      <c r="J41" s="649" t="s">
        <v>112</v>
      </c>
      <c r="K41" s="620"/>
      <c r="L41" s="620"/>
      <c r="M41" s="620"/>
      <c r="N41" s="620"/>
      <c r="O41" s="620"/>
      <c r="P41" s="620"/>
      <c r="Q41" s="620"/>
      <c r="R41" s="620"/>
      <c r="S41" s="650"/>
      <c r="T41" s="621"/>
      <c r="U41" s="621"/>
      <c r="V41" s="621"/>
      <c r="W41" s="621"/>
      <c r="X41" s="622"/>
      <c r="Y41" s="622"/>
      <c r="Z41" s="622"/>
      <c r="AA41" s="622"/>
      <c r="AB41" s="622"/>
      <c r="AC41" s="622"/>
      <c r="AD41" s="622"/>
      <c r="AE41" s="622"/>
      <c r="AF41" s="622"/>
      <c r="AG41" s="170"/>
    </row>
    <row r="42" spans="2:33" x14ac:dyDescent="0.35">
      <c r="B42" s="646" t="s">
        <v>180</v>
      </c>
      <c r="C42" s="647" t="str">
        <f>'Optional I Test Recorded Data'!D75</f>
        <v/>
      </c>
      <c r="D42" s="648" t="s">
        <v>49</v>
      </c>
      <c r="E42" s="647" t="str">
        <f>'Optional I Test Recorded Data'!D80</f>
        <v/>
      </c>
      <c r="F42" s="648" t="s">
        <v>49</v>
      </c>
      <c r="G42" s="647" t="e">
        <f t="shared" si="1"/>
        <v>#VALUE!</v>
      </c>
      <c r="H42" s="647" t="e">
        <f t="shared" si="0"/>
        <v>#VALUE!</v>
      </c>
      <c r="I42" s="647">
        <f>'Optional I Test Recorded Data'!D23</f>
        <v>0</v>
      </c>
      <c r="J42" s="649" t="s">
        <v>112</v>
      </c>
      <c r="K42" s="620"/>
      <c r="L42" s="620"/>
      <c r="M42" s="620"/>
      <c r="N42" s="620"/>
      <c r="O42" s="620"/>
      <c r="P42" s="620"/>
      <c r="Q42" s="620"/>
      <c r="R42" s="620"/>
      <c r="S42" s="650"/>
      <c r="T42" s="621"/>
      <c r="U42" s="621"/>
      <c r="V42" s="621"/>
      <c r="W42" s="621"/>
      <c r="X42" s="622"/>
      <c r="Y42" s="622"/>
      <c r="Z42" s="622"/>
      <c r="AA42" s="622"/>
      <c r="AB42" s="622"/>
      <c r="AC42" s="622"/>
      <c r="AD42" s="622"/>
      <c r="AE42" s="622"/>
      <c r="AF42" s="622"/>
      <c r="AG42" s="170"/>
    </row>
    <row r="43" spans="2:33" x14ac:dyDescent="0.35">
      <c r="B43" s="646" t="s">
        <v>122</v>
      </c>
      <c r="C43" s="647" t="str">
        <f>'H1 Test Recorded Data'!D73</f>
        <v/>
      </c>
      <c r="D43" s="648" t="s">
        <v>49</v>
      </c>
      <c r="E43" s="647" t="str">
        <f>'H1 Test Recorded Data'!D78</f>
        <v/>
      </c>
      <c r="F43" s="648" t="s">
        <v>49</v>
      </c>
      <c r="G43" s="647" t="e">
        <f t="shared" si="1"/>
        <v>#VALUE!</v>
      </c>
      <c r="H43" s="647" t="e">
        <f t="shared" si="0"/>
        <v>#VALUE!</v>
      </c>
      <c r="I43" s="647">
        <f>'H1 Test Recorded Data'!D21</f>
        <v>0</v>
      </c>
      <c r="J43" s="649" t="s">
        <v>112</v>
      </c>
      <c r="K43" s="620"/>
      <c r="L43" s="620"/>
      <c r="M43" s="620"/>
      <c r="N43" s="620"/>
      <c r="O43" s="620"/>
      <c r="P43" s="620"/>
      <c r="Q43" s="620"/>
      <c r="R43" s="620"/>
      <c r="S43" s="650"/>
      <c r="T43" s="621"/>
      <c r="U43" s="621"/>
      <c r="V43" s="621"/>
      <c r="W43" s="621"/>
      <c r="X43" s="622"/>
      <c r="Y43" s="622"/>
      <c r="Z43" s="622"/>
      <c r="AA43" s="622"/>
      <c r="AB43" s="622"/>
      <c r="AC43" s="622"/>
      <c r="AD43" s="622"/>
      <c r="AE43" s="622"/>
      <c r="AF43" s="622"/>
      <c r="AG43" s="170"/>
    </row>
    <row r="44" spans="2:33" x14ac:dyDescent="0.35">
      <c r="B44" s="646" t="s">
        <v>181</v>
      </c>
      <c r="C44" s="647" t="str">
        <f>'H1 Test Recorded Data'!D73</f>
        <v/>
      </c>
      <c r="D44" s="648" t="s">
        <v>49</v>
      </c>
      <c r="E44" s="647" t="str">
        <f>'H1 Test Recorded Data'!D78</f>
        <v/>
      </c>
      <c r="F44" s="648" t="s">
        <v>49</v>
      </c>
      <c r="G44" s="647" t="e">
        <f t="shared" si="1"/>
        <v>#VALUE!</v>
      </c>
      <c r="H44" s="647" t="e">
        <f t="shared" si="0"/>
        <v>#VALUE!</v>
      </c>
      <c r="I44" s="647">
        <f>'H1 Test Recorded Data'!D21</f>
        <v>0</v>
      </c>
      <c r="J44" s="649" t="s">
        <v>112</v>
      </c>
      <c r="K44" s="620"/>
      <c r="L44" s="620"/>
      <c r="M44" s="620"/>
      <c r="N44" s="620"/>
      <c r="O44" s="620"/>
      <c r="P44" s="620"/>
      <c r="Q44" s="620"/>
      <c r="R44" s="620"/>
      <c r="S44" s="650"/>
      <c r="T44" s="621"/>
      <c r="U44" s="621"/>
      <c r="V44" s="621"/>
      <c r="W44" s="621"/>
      <c r="X44" s="622"/>
      <c r="Y44" s="622"/>
      <c r="Z44" s="622"/>
      <c r="AA44" s="622"/>
      <c r="AB44" s="622"/>
      <c r="AC44" s="622"/>
      <c r="AD44" s="622"/>
      <c r="AE44" s="622"/>
      <c r="AF44" s="622"/>
      <c r="AG44" s="170"/>
    </row>
    <row r="45" spans="2:33" x14ac:dyDescent="0.35">
      <c r="B45" s="646" t="s">
        <v>182</v>
      </c>
      <c r="C45" s="647" t="str">
        <f>'H1 Test Recorded Data'!D143</f>
        <v/>
      </c>
      <c r="D45" s="648" t="s">
        <v>49</v>
      </c>
      <c r="E45" s="647" t="str">
        <f>'H1 Test Recorded Data'!D148</f>
        <v/>
      </c>
      <c r="F45" s="648" t="s">
        <v>49</v>
      </c>
      <c r="G45" s="647" t="e">
        <f t="shared" si="1"/>
        <v>#VALUE!</v>
      </c>
      <c r="H45" s="647" t="e">
        <f t="shared" si="0"/>
        <v>#VALUE!</v>
      </c>
      <c r="I45" s="647">
        <f>'H1 Test Recorded Data'!D91</f>
        <v>0</v>
      </c>
      <c r="J45" s="649" t="s">
        <v>112</v>
      </c>
      <c r="K45" s="620"/>
      <c r="L45" s="620"/>
      <c r="M45" s="620"/>
      <c r="N45" s="620"/>
      <c r="O45" s="620"/>
      <c r="P45" s="620"/>
      <c r="Q45" s="620"/>
      <c r="R45" s="620"/>
      <c r="S45" s="650"/>
      <c r="T45" s="621"/>
      <c r="U45" s="621"/>
      <c r="V45" s="621"/>
      <c r="W45" s="621"/>
      <c r="X45" s="622"/>
      <c r="Y45" s="622"/>
      <c r="Z45" s="622"/>
      <c r="AA45" s="622"/>
      <c r="AB45" s="622"/>
      <c r="AC45" s="622"/>
      <c r="AD45" s="622"/>
      <c r="AE45" s="622"/>
      <c r="AF45" s="622"/>
      <c r="AG45" s="170"/>
    </row>
    <row r="46" spans="2:33" x14ac:dyDescent="0.35">
      <c r="B46" s="651" t="s">
        <v>123</v>
      </c>
      <c r="C46" s="647" t="str">
        <f>'H2 Test Recorded Data'!D76</f>
        <v/>
      </c>
      <c r="D46" s="648" t="s">
        <v>49</v>
      </c>
      <c r="E46" s="647" t="str">
        <f>'H2 Test Recorded Data'!D81</f>
        <v/>
      </c>
      <c r="F46" s="648" t="s">
        <v>49</v>
      </c>
      <c r="G46" s="647" t="e">
        <f t="shared" si="1"/>
        <v>#VALUE!</v>
      </c>
      <c r="H46" s="647" t="e">
        <f t="shared" si="0"/>
        <v>#VALUE!</v>
      </c>
      <c r="I46" s="647">
        <f>'H2 Test Recorded Data'!D24</f>
        <v>0</v>
      </c>
      <c r="J46" s="649" t="s">
        <v>112</v>
      </c>
      <c r="K46" s="620"/>
      <c r="L46" s="620"/>
      <c r="M46" s="620"/>
      <c r="N46" s="620"/>
      <c r="O46" s="620"/>
      <c r="P46" s="620"/>
      <c r="Q46" s="620"/>
      <c r="R46" s="620"/>
      <c r="S46" s="650"/>
      <c r="T46" s="621"/>
      <c r="U46" s="621"/>
      <c r="V46" s="621"/>
      <c r="W46" s="621"/>
      <c r="X46" s="622"/>
      <c r="Y46" s="622"/>
      <c r="Z46" s="622"/>
      <c r="AA46" s="622"/>
      <c r="AB46" s="622"/>
      <c r="AC46" s="622"/>
      <c r="AD46" s="622"/>
      <c r="AE46" s="622"/>
      <c r="AF46" s="622"/>
      <c r="AG46" s="170"/>
    </row>
    <row r="47" spans="2:33" x14ac:dyDescent="0.35">
      <c r="B47" s="651" t="s">
        <v>183</v>
      </c>
      <c r="C47" s="647" t="str">
        <f>'H2 Test Recorded Data'!D76</f>
        <v/>
      </c>
      <c r="D47" s="648" t="s">
        <v>49</v>
      </c>
      <c r="E47" s="647" t="str">
        <f>'H2 Test Recorded Data'!D81</f>
        <v/>
      </c>
      <c r="F47" s="648" t="s">
        <v>49</v>
      </c>
      <c r="G47" s="647" t="e">
        <f t="shared" si="1"/>
        <v>#VALUE!</v>
      </c>
      <c r="H47" s="647" t="e">
        <f t="shared" si="0"/>
        <v>#VALUE!</v>
      </c>
      <c r="I47" s="647">
        <f>'H2 Test Recorded Data'!D24</f>
        <v>0</v>
      </c>
      <c r="J47" s="649" t="s">
        <v>112</v>
      </c>
      <c r="K47" s="620"/>
      <c r="L47" s="620"/>
      <c r="M47" s="620"/>
      <c r="N47" s="620"/>
      <c r="O47" s="620"/>
      <c r="P47" s="620"/>
      <c r="Q47" s="620"/>
      <c r="R47" s="620"/>
      <c r="S47" s="650"/>
      <c r="T47" s="621"/>
      <c r="U47" s="621"/>
      <c r="V47" s="621"/>
      <c r="W47" s="621"/>
      <c r="X47" s="622"/>
      <c r="Y47" s="622"/>
      <c r="Z47" s="622"/>
      <c r="AA47" s="622"/>
      <c r="AB47" s="622"/>
      <c r="AC47" s="622"/>
      <c r="AD47" s="622"/>
      <c r="AE47" s="622"/>
      <c r="AF47" s="622"/>
      <c r="AG47" s="170"/>
    </row>
    <row r="48" spans="2:33" x14ac:dyDescent="0.35">
      <c r="B48" s="651" t="s">
        <v>184</v>
      </c>
      <c r="C48" s="647" t="str">
        <f>'H2 Test Recorded Data'!D146</f>
        <v/>
      </c>
      <c r="D48" s="648" t="s">
        <v>49</v>
      </c>
      <c r="E48" s="647" t="str">
        <f>'H2 Test Recorded Data'!D151</f>
        <v/>
      </c>
      <c r="F48" s="648" t="s">
        <v>49</v>
      </c>
      <c r="G48" s="647" t="e">
        <f t="shared" si="1"/>
        <v>#VALUE!</v>
      </c>
      <c r="H48" s="647" t="e">
        <f t="shared" si="0"/>
        <v>#VALUE!</v>
      </c>
      <c r="I48" s="647">
        <f>'H2 Test Recorded Data'!D94</f>
        <v>0</v>
      </c>
      <c r="J48" s="649" t="s">
        <v>112</v>
      </c>
      <c r="K48" s="620"/>
      <c r="L48" s="620"/>
      <c r="M48" s="620"/>
      <c r="N48" s="620"/>
      <c r="O48" s="620"/>
      <c r="P48" s="620"/>
      <c r="Q48" s="620"/>
      <c r="R48" s="620"/>
      <c r="S48" s="650"/>
      <c r="T48" s="621"/>
      <c r="U48" s="621"/>
      <c r="V48" s="621"/>
      <c r="W48" s="621"/>
      <c r="X48" s="622"/>
      <c r="Y48" s="622"/>
      <c r="Z48" s="622"/>
      <c r="AA48" s="622"/>
      <c r="AB48" s="622"/>
      <c r="AC48" s="622"/>
      <c r="AD48" s="622"/>
      <c r="AE48" s="622"/>
      <c r="AF48" s="622"/>
      <c r="AG48" s="170"/>
    </row>
    <row r="49" spans="2:33" x14ac:dyDescent="0.35">
      <c r="B49" s="651" t="s">
        <v>124</v>
      </c>
      <c r="C49" s="647" t="str">
        <f>'H3 Test Recorded Data'!D75</f>
        <v/>
      </c>
      <c r="D49" s="648" t="s">
        <v>49</v>
      </c>
      <c r="E49" s="647" t="str">
        <f>'H3 Test Recorded Data'!D80</f>
        <v/>
      </c>
      <c r="F49" s="648" t="s">
        <v>49</v>
      </c>
      <c r="G49" s="647" t="e">
        <f t="shared" si="1"/>
        <v>#VALUE!</v>
      </c>
      <c r="H49" s="647" t="e">
        <f t="shared" si="0"/>
        <v>#VALUE!</v>
      </c>
      <c r="I49" s="647">
        <f>'H3 Test Recorded Data'!D23</f>
        <v>0</v>
      </c>
      <c r="J49" s="649" t="s">
        <v>112</v>
      </c>
      <c r="K49" s="620"/>
      <c r="L49" s="620"/>
      <c r="M49" s="620"/>
      <c r="N49" s="620"/>
      <c r="O49" s="620"/>
      <c r="P49" s="620"/>
      <c r="Q49" s="620"/>
      <c r="R49" s="620"/>
      <c r="S49" s="650"/>
      <c r="T49" s="621"/>
      <c r="U49" s="621"/>
      <c r="V49" s="621"/>
      <c r="W49" s="621"/>
      <c r="X49" s="622"/>
      <c r="Y49" s="622"/>
      <c r="Z49" s="622"/>
      <c r="AA49" s="622"/>
      <c r="AB49" s="622"/>
      <c r="AC49" s="622"/>
      <c r="AD49" s="622"/>
      <c r="AE49" s="622"/>
      <c r="AF49" s="622"/>
      <c r="AG49" s="170"/>
    </row>
    <row r="50" spans="2:33" x14ac:dyDescent="0.35">
      <c r="B50" s="651" t="s">
        <v>185</v>
      </c>
      <c r="C50" s="647" t="str">
        <f>'H3 Test Recorded Data'!D75</f>
        <v/>
      </c>
      <c r="D50" s="648" t="s">
        <v>49</v>
      </c>
      <c r="E50" s="647" t="str">
        <f>'H3 Test Recorded Data'!D80</f>
        <v/>
      </c>
      <c r="F50" s="648" t="s">
        <v>49</v>
      </c>
      <c r="G50" s="647" t="e">
        <f t="shared" si="1"/>
        <v>#VALUE!</v>
      </c>
      <c r="H50" s="647" t="e">
        <f t="shared" si="0"/>
        <v>#VALUE!</v>
      </c>
      <c r="I50" s="647">
        <f>'H3 Test Recorded Data'!D23</f>
        <v>0</v>
      </c>
      <c r="J50" s="649" t="s">
        <v>112</v>
      </c>
      <c r="K50" s="620"/>
      <c r="L50" s="620"/>
      <c r="M50" s="620"/>
      <c r="N50" s="620"/>
      <c r="O50" s="620"/>
      <c r="P50" s="620"/>
      <c r="Q50" s="620"/>
      <c r="R50" s="620"/>
      <c r="S50" s="650"/>
      <c r="T50" s="621"/>
      <c r="U50" s="621"/>
      <c r="V50" s="621"/>
      <c r="W50" s="621"/>
      <c r="X50" s="622"/>
      <c r="Y50" s="622"/>
      <c r="Z50" s="622"/>
      <c r="AA50" s="622"/>
      <c r="AB50" s="622"/>
      <c r="AC50" s="622"/>
      <c r="AD50" s="622"/>
      <c r="AE50" s="622"/>
      <c r="AF50" s="622"/>
      <c r="AG50" s="170"/>
    </row>
    <row r="51" spans="2:33" x14ac:dyDescent="0.35">
      <c r="B51" s="651" t="s">
        <v>186</v>
      </c>
      <c r="C51" s="647" t="str">
        <f>'H3 Test Recorded Data'!D145</f>
        <v/>
      </c>
      <c r="D51" s="648" t="s">
        <v>49</v>
      </c>
      <c r="E51" s="647" t="str">
        <f>'H3 Test Recorded Data'!D150</f>
        <v/>
      </c>
      <c r="F51" s="648" t="s">
        <v>49</v>
      </c>
      <c r="G51" s="647" t="e">
        <f t="shared" si="1"/>
        <v>#VALUE!</v>
      </c>
      <c r="H51" s="647" t="e">
        <f t="shared" si="0"/>
        <v>#VALUE!</v>
      </c>
      <c r="I51" s="647">
        <f>'H3 Test Recorded Data'!D93</f>
        <v>0</v>
      </c>
      <c r="J51" s="649" t="s">
        <v>112</v>
      </c>
      <c r="K51" s="622"/>
      <c r="L51" s="622"/>
      <c r="M51" s="622"/>
      <c r="N51" s="622"/>
      <c r="O51" s="622"/>
      <c r="P51" s="622"/>
      <c r="Q51" s="622"/>
      <c r="R51" s="622"/>
      <c r="S51" s="621"/>
      <c r="T51" s="621"/>
      <c r="U51" s="621"/>
      <c r="V51" s="621"/>
      <c r="W51" s="621"/>
      <c r="X51" s="622"/>
      <c r="Y51" s="622"/>
      <c r="Z51" s="622"/>
      <c r="AA51" s="622"/>
      <c r="AB51" s="622"/>
      <c r="AC51" s="622"/>
      <c r="AD51" s="622"/>
      <c r="AE51" s="622"/>
      <c r="AF51" s="622"/>
      <c r="AG51" s="170"/>
    </row>
    <row r="52" spans="2:33" x14ac:dyDescent="0.35">
      <c r="B52" s="651" t="s">
        <v>202</v>
      </c>
      <c r="C52" s="647" t="str">
        <f>'Optional H1C Test Recorded Data'!D75</f>
        <v/>
      </c>
      <c r="D52" s="648" t="s">
        <v>49</v>
      </c>
      <c r="E52" s="647" t="str">
        <f>'Optional H1C Test Recorded Data'!D80</f>
        <v/>
      </c>
      <c r="F52" s="648" t="s">
        <v>49</v>
      </c>
      <c r="G52" s="647" t="e">
        <f>IF(ABS((C52-E52)/C52)&lt;=0.06,"Yes","No")</f>
        <v>#VALUE!</v>
      </c>
      <c r="H52" s="647" t="e">
        <f>ABS((C52-E52)/C52)</f>
        <v>#VALUE!</v>
      </c>
      <c r="I52" s="647">
        <f>'Optional H1C Test Recorded Data'!D23</f>
        <v>0</v>
      </c>
      <c r="J52" s="649" t="s">
        <v>112</v>
      </c>
      <c r="K52" s="622"/>
      <c r="L52" s="622"/>
      <c r="M52" s="622"/>
      <c r="N52" s="622"/>
      <c r="O52" s="622"/>
      <c r="P52" s="622"/>
      <c r="Q52" s="622"/>
      <c r="R52" s="622"/>
      <c r="S52" s="621"/>
      <c r="T52" s="621"/>
      <c r="U52" s="621"/>
      <c r="V52" s="621"/>
      <c r="W52" s="621"/>
      <c r="X52" s="622"/>
      <c r="Y52" s="622"/>
      <c r="Z52" s="622"/>
      <c r="AA52" s="622"/>
      <c r="AB52" s="622"/>
      <c r="AC52" s="622"/>
      <c r="AD52" s="622"/>
      <c r="AE52" s="622"/>
      <c r="AF52" s="622"/>
      <c r="AG52" s="170"/>
    </row>
    <row r="53" spans="2:33" x14ac:dyDescent="0.35">
      <c r="B53" s="651" t="s">
        <v>187</v>
      </c>
      <c r="C53" s="647" t="str">
        <f>'Optional H1C Test Recorded Data'!D75</f>
        <v/>
      </c>
      <c r="D53" s="648" t="s">
        <v>49</v>
      </c>
      <c r="E53" s="647" t="str">
        <f>'Optional H1C Test Recorded Data'!D80</f>
        <v/>
      </c>
      <c r="F53" s="648" t="s">
        <v>49</v>
      </c>
      <c r="G53" s="647" t="e">
        <f t="shared" si="1"/>
        <v>#VALUE!</v>
      </c>
      <c r="H53" s="647" t="e">
        <f t="shared" si="0"/>
        <v>#VALUE!</v>
      </c>
      <c r="I53" s="647">
        <f>'Optional H1C Test Recorded Data'!D23</f>
        <v>0</v>
      </c>
      <c r="J53" s="649" t="s">
        <v>112</v>
      </c>
      <c r="K53" s="622"/>
      <c r="L53" s="622"/>
      <c r="M53" s="622"/>
      <c r="N53" s="622"/>
      <c r="O53" s="622"/>
      <c r="P53" s="622"/>
      <c r="Q53" s="622"/>
      <c r="R53" s="622"/>
      <c r="S53" s="621"/>
      <c r="T53" s="621"/>
      <c r="U53" s="621"/>
      <c r="V53" s="621"/>
      <c r="W53" s="621"/>
      <c r="X53" s="622"/>
      <c r="Y53" s="622"/>
      <c r="Z53" s="622"/>
      <c r="AA53" s="622"/>
      <c r="AB53" s="622"/>
      <c r="AC53" s="622"/>
      <c r="AD53" s="622"/>
      <c r="AE53" s="622"/>
      <c r="AF53" s="622"/>
      <c r="AG53" s="170"/>
    </row>
    <row r="54" spans="2:33" x14ac:dyDescent="0.35">
      <c r="B54" s="651" t="s">
        <v>188</v>
      </c>
      <c r="C54" s="647" t="str">
        <f>'Optional H1C Test Recorded Data'!D147</f>
        <v/>
      </c>
      <c r="D54" s="648" t="s">
        <v>49</v>
      </c>
      <c r="E54" s="647" t="str">
        <f>'Optional H1C Test Recorded Data'!D152</f>
        <v/>
      </c>
      <c r="F54" s="648" t="s">
        <v>49</v>
      </c>
      <c r="G54" s="647" t="e">
        <f t="shared" si="1"/>
        <v>#VALUE!</v>
      </c>
      <c r="H54" s="647" t="e">
        <f t="shared" si="0"/>
        <v>#VALUE!</v>
      </c>
      <c r="I54" s="647">
        <f>'Optional H1C Test Recorded Data'!D95</f>
        <v>0</v>
      </c>
      <c r="J54" s="649" t="s">
        <v>112</v>
      </c>
      <c r="K54" s="622"/>
      <c r="L54" s="622"/>
      <c r="M54" s="622"/>
      <c r="N54" s="622"/>
      <c r="O54" s="622"/>
      <c r="P54" s="622"/>
      <c r="Q54" s="622"/>
      <c r="R54" s="622"/>
      <c r="S54" s="621"/>
      <c r="T54" s="621"/>
      <c r="U54" s="621"/>
      <c r="V54" s="621"/>
      <c r="W54" s="621"/>
      <c r="X54" s="622"/>
      <c r="Y54" s="622"/>
      <c r="Z54" s="622"/>
      <c r="AA54" s="622"/>
      <c r="AB54" s="622"/>
      <c r="AC54" s="622"/>
      <c r="AD54" s="622"/>
      <c r="AE54" s="622"/>
      <c r="AF54" s="622"/>
      <c r="AG54" s="170"/>
    </row>
    <row r="55" spans="2:33" x14ac:dyDescent="0.35">
      <c r="B55" s="651" t="s">
        <v>189</v>
      </c>
      <c r="C55" s="647" t="str">
        <f>'Optional H0C Test Recorded Data'!D75</f>
        <v/>
      </c>
      <c r="D55" s="648" t="s">
        <v>49</v>
      </c>
      <c r="E55" s="647" t="str">
        <f>'Optional H0C Test Recorded Data'!D80</f>
        <v/>
      </c>
      <c r="F55" s="648" t="s">
        <v>49</v>
      </c>
      <c r="G55" s="647" t="e">
        <f t="shared" si="1"/>
        <v>#VALUE!</v>
      </c>
      <c r="H55" s="647" t="e">
        <f t="shared" si="0"/>
        <v>#VALUE!</v>
      </c>
      <c r="I55" s="647">
        <f>'Optional H0C Test Recorded Data'!D23</f>
        <v>0</v>
      </c>
      <c r="J55" s="649" t="s">
        <v>112</v>
      </c>
      <c r="K55" s="622"/>
      <c r="L55" s="622"/>
      <c r="M55" s="622"/>
      <c r="N55" s="622"/>
      <c r="O55" s="622"/>
      <c r="P55" s="622"/>
      <c r="Q55" s="622"/>
      <c r="R55" s="622"/>
      <c r="S55" s="621"/>
      <c r="T55" s="621"/>
      <c r="U55" s="621"/>
      <c r="V55" s="621"/>
      <c r="W55" s="621"/>
      <c r="X55" s="622"/>
      <c r="Y55" s="622"/>
      <c r="Z55" s="622"/>
      <c r="AA55" s="622"/>
      <c r="AB55" s="622"/>
      <c r="AC55" s="622"/>
      <c r="AD55" s="622"/>
      <c r="AE55" s="622"/>
      <c r="AF55" s="622"/>
      <c r="AG55" s="170"/>
    </row>
    <row r="56" spans="2:33" x14ac:dyDescent="0.35">
      <c r="B56" s="651" t="s">
        <v>190</v>
      </c>
      <c r="C56" s="647" t="str">
        <f>'H0-1 Test Recorded Data'!D73</f>
        <v/>
      </c>
      <c r="D56" s="648" t="s">
        <v>49</v>
      </c>
      <c r="E56" s="647" t="str">
        <f>'H0-1 Test Recorded Data'!D78</f>
        <v/>
      </c>
      <c r="F56" s="648" t="s">
        <v>49</v>
      </c>
      <c r="G56" s="647" t="e">
        <f t="shared" si="1"/>
        <v>#VALUE!</v>
      </c>
      <c r="H56" s="647" t="e">
        <f t="shared" si="0"/>
        <v>#VALUE!</v>
      </c>
      <c r="I56" s="647">
        <f>'H0-1 Test Recorded Data'!D21</f>
        <v>0</v>
      </c>
      <c r="J56" s="649" t="s">
        <v>112</v>
      </c>
      <c r="K56" s="622"/>
      <c r="L56" s="622"/>
      <c r="M56" s="622"/>
      <c r="N56" s="620"/>
      <c r="O56" s="620"/>
      <c r="P56" s="622"/>
      <c r="Q56" s="622"/>
      <c r="R56" s="622"/>
      <c r="S56" s="621"/>
      <c r="T56" s="621"/>
      <c r="U56" s="621"/>
      <c r="V56" s="621"/>
      <c r="W56" s="621"/>
      <c r="X56" s="622"/>
      <c r="Y56" s="622"/>
      <c r="Z56" s="622"/>
      <c r="AA56" s="622"/>
      <c r="AB56" s="622"/>
      <c r="AC56" s="622"/>
      <c r="AD56" s="622"/>
      <c r="AE56" s="622"/>
      <c r="AF56" s="622"/>
      <c r="AG56" s="170"/>
    </row>
    <row r="57" spans="2:33" x14ac:dyDescent="0.35">
      <c r="B57" s="652" t="s">
        <v>280</v>
      </c>
      <c r="C57" s="647" t="str">
        <f>'H2 Test Recorded Data'!D216</f>
        <v/>
      </c>
      <c r="D57" s="648" t="s">
        <v>49</v>
      </c>
      <c r="E57" s="647" t="str">
        <f>'H2 Test Recorded Data'!D221</f>
        <v/>
      </c>
      <c r="F57" s="648" t="s">
        <v>49</v>
      </c>
      <c r="G57" s="653" t="e">
        <f t="shared" si="1"/>
        <v>#VALUE!</v>
      </c>
      <c r="H57" s="653" t="e">
        <f t="shared" si="0"/>
        <v>#VALUE!</v>
      </c>
      <c r="I57" s="647">
        <f>'H2 Test Recorded Data'!D164</f>
        <v>0</v>
      </c>
      <c r="J57" s="649" t="s">
        <v>112</v>
      </c>
      <c r="K57" s="622"/>
      <c r="L57" s="622"/>
      <c r="M57" s="622"/>
      <c r="N57" s="620"/>
      <c r="O57" s="620"/>
      <c r="P57" s="622"/>
      <c r="Q57" s="622"/>
      <c r="R57" s="622"/>
      <c r="S57" s="622"/>
      <c r="T57" s="622"/>
      <c r="U57" s="622"/>
      <c r="V57" s="622"/>
      <c r="W57" s="622"/>
      <c r="X57" s="622"/>
      <c r="Y57" s="622"/>
      <c r="Z57" s="622"/>
      <c r="AA57" s="622"/>
      <c r="AB57" s="622"/>
      <c r="AC57" s="622"/>
      <c r="AD57" s="622"/>
      <c r="AE57" s="622"/>
      <c r="AF57" s="622"/>
      <c r="AG57" s="170"/>
    </row>
    <row r="58" spans="2:33" x14ac:dyDescent="0.35">
      <c r="B58" s="654" t="s">
        <v>403</v>
      </c>
      <c r="C58" s="647" t="str">
        <f>'H1 Test Recorded Data'!D213</f>
        <v/>
      </c>
      <c r="D58" s="648" t="s">
        <v>49</v>
      </c>
      <c r="E58" s="647" t="str">
        <f>'H1 Test Recorded Data'!D218</f>
        <v/>
      </c>
      <c r="F58" s="648" t="s">
        <v>49</v>
      </c>
      <c r="G58" s="653" t="e">
        <f t="shared" si="1"/>
        <v>#VALUE!</v>
      </c>
      <c r="H58" s="653" t="e">
        <f t="shared" si="0"/>
        <v>#VALUE!</v>
      </c>
      <c r="I58" s="647">
        <f>'H1 Test Recorded Data'!D161</f>
        <v>0</v>
      </c>
      <c r="J58" s="649" t="s">
        <v>112</v>
      </c>
      <c r="K58" s="622"/>
      <c r="L58" s="622"/>
      <c r="M58" s="622"/>
      <c r="N58" s="620"/>
      <c r="O58" s="620"/>
      <c r="P58" s="622"/>
      <c r="Q58" s="622"/>
      <c r="R58" s="622"/>
      <c r="S58" s="622"/>
      <c r="T58" s="622"/>
      <c r="U58" s="622"/>
      <c r="V58" s="622"/>
      <c r="W58" s="622"/>
      <c r="X58" s="622"/>
      <c r="Y58" s="622"/>
      <c r="Z58" s="622"/>
      <c r="AA58" s="622"/>
      <c r="AB58" s="622"/>
      <c r="AC58" s="622"/>
      <c r="AD58" s="622"/>
      <c r="AE58" s="622"/>
      <c r="AF58" s="622"/>
      <c r="AG58" s="170"/>
    </row>
    <row r="59" spans="2:33" ht="18.75" thickBot="1" x14ac:dyDescent="0.4">
      <c r="B59" s="655"/>
      <c r="C59" s="656"/>
      <c r="D59" s="656"/>
      <c r="E59" s="656"/>
      <c r="F59" s="656"/>
      <c r="G59" s="656"/>
      <c r="H59" s="656"/>
      <c r="I59" s="656"/>
      <c r="J59" s="657"/>
      <c r="K59" s="620"/>
      <c r="L59" s="620"/>
      <c r="M59" s="620"/>
      <c r="N59" s="620"/>
      <c r="O59" s="620"/>
      <c r="P59" s="620"/>
      <c r="Q59" s="620"/>
      <c r="R59" s="622"/>
      <c r="S59" s="622"/>
      <c r="T59" s="622"/>
      <c r="U59" s="622"/>
      <c r="V59" s="622"/>
      <c r="W59" s="622"/>
      <c r="X59" s="622"/>
      <c r="Y59" s="622"/>
      <c r="Z59" s="622"/>
      <c r="AA59" s="622"/>
      <c r="AB59" s="622"/>
      <c r="AC59" s="622"/>
      <c r="AD59" s="622"/>
      <c r="AE59" s="622"/>
      <c r="AF59" s="622"/>
      <c r="AG59" s="170"/>
    </row>
    <row r="60" spans="2:33" ht="18.75" thickBot="1" x14ac:dyDescent="0.4">
      <c r="B60" s="621"/>
      <c r="C60" s="650"/>
      <c r="D60" s="650"/>
      <c r="E60" s="650"/>
      <c r="F60" s="650"/>
      <c r="G60" s="650"/>
      <c r="H60" s="650"/>
      <c r="I60" s="650"/>
      <c r="J60" s="650"/>
      <c r="K60" s="620"/>
      <c r="L60" s="620"/>
      <c r="M60" s="620"/>
      <c r="N60" s="620"/>
      <c r="O60" s="620"/>
      <c r="P60" s="620"/>
      <c r="Q60" s="620"/>
      <c r="R60" s="622"/>
      <c r="S60" s="622"/>
      <c r="T60" s="622"/>
      <c r="U60" s="622"/>
      <c r="V60" s="622"/>
      <c r="W60" s="622"/>
      <c r="X60" s="622"/>
      <c r="Y60" s="622"/>
      <c r="Z60" s="622"/>
      <c r="AA60" s="622"/>
      <c r="AB60" s="622"/>
      <c r="AC60" s="622"/>
      <c r="AD60" s="622"/>
      <c r="AE60" s="622"/>
      <c r="AF60" s="622"/>
      <c r="AG60" s="170"/>
    </row>
    <row r="61" spans="2:33" ht="18.75" thickBot="1" x14ac:dyDescent="0.4">
      <c r="B61" s="1062" t="s">
        <v>234</v>
      </c>
      <c r="C61" s="1063"/>
      <c r="D61" s="1063"/>
      <c r="E61" s="1063"/>
      <c r="F61" s="1063"/>
      <c r="G61" s="1063"/>
      <c r="H61" s="1063"/>
      <c r="I61" s="1063"/>
      <c r="J61" s="1063"/>
      <c r="K61" s="1063"/>
      <c r="L61" s="1063"/>
      <c r="M61" s="1063"/>
      <c r="N61" s="1063"/>
      <c r="O61" s="1063"/>
      <c r="P61" s="1063"/>
      <c r="Q61" s="1063"/>
      <c r="R61" s="1063"/>
      <c r="S61" s="1064"/>
      <c r="T61" s="622"/>
      <c r="U61" s="620"/>
      <c r="V61" s="620"/>
      <c r="W61" s="620"/>
      <c r="X61" s="620"/>
      <c r="Y61" s="620"/>
      <c r="Z61" s="620"/>
      <c r="AA61" s="620"/>
      <c r="AB61" s="622"/>
      <c r="AC61" s="622"/>
      <c r="AD61" s="622"/>
      <c r="AE61" s="622"/>
      <c r="AF61" s="622"/>
      <c r="AG61" s="170"/>
    </row>
    <row r="62" spans="2:33" x14ac:dyDescent="0.35">
      <c r="B62" s="658"/>
      <c r="C62" s="650"/>
      <c r="D62" s="650"/>
      <c r="E62" s="650"/>
      <c r="F62" s="650"/>
      <c r="G62" s="650"/>
      <c r="H62" s="650"/>
      <c r="I62" s="650"/>
      <c r="J62" s="650"/>
      <c r="K62" s="650"/>
      <c r="L62" s="650"/>
      <c r="M62" s="650"/>
      <c r="N62" s="650"/>
      <c r="O62" s="650"/>
      <c r="P62" s="650"/>
      <c r="Q62" s="650"/>
      <c r="R62" s="621"/>
      <c r="S62" s="659"/>
      <c r="T62" s="622"/>
      <c r="U62" s="620"/>
      <c r="V62" s="620"/>
      <c r="W62" s="620"/>
      <c r="X62" s="620"/>
      <c r="Y62" s="620"/>
      <c r="Z62" s="620"/>
      <c r="AA62" s="620"/>
      <c r="AB62" s="622"/>
      <c r="AC62" s="622"/>
      <c r="AD62" s="622"/>
      <c r="AE62" s="622"/>
      <c r="AF62" s="622"/>
      <c r="AG62" s="170"/>
    </row>
    <row r="63" spans="2:33" x14ac:dyDescent="0.35">
      <c r="B63" s="660" t="s">
        <v>203</v>
      </c>
      <c r="C63" s="661"/>
      <c r="D63" s="661"/>
      <c r="E63" s="661"/>
      <c r="F63" s="661"/>
      <c r="G63" s="661"/>
      <c r="H63" s="661"/>
      <c r="I63" s="661"/>
      <c r="J63" s="661"/>
      <c r="K63" s="661"/>
      <c r="L63" s="661"/>
      <c r="M63" s="661"/>
      <c r="N63" s="661"/>
      <c r="O63" s="661"/>
      <c r="P63" s="661"/>
      <c r="Q63" s="661"/>
      <c r="R63" s="662"/>
      <c r="S63" s="659"/>
      <c r="T63" s="622"/>
      <c r="U63" s="620"/>
      <c r="V63" s="620"/>
      <c r="W63" s="620"/>
      <c r="X63" s="620"/>
      <c r="Y63" s="620"/>
      <c r="Z63" s="620"/>
      <c r="AA63" s="620"/>
      <c r="AB63" s="622"/>
      <c r="AC63" s="622"/>
      <c r="AD63" s="622"/>
      <c r="AE63" s="622"/>
      <c r="AF63" s="622"/>
      <c r="AG63" s="170"/>
    </row>
    <row r="64" spans="2:33" x14ac:dyDescent="0.35">
      <c r="B64" s="658"/>
      <c r="C64" s="650"/>
      <c r="D64" s="650"/>
      <c r="E64" s="650"/>
      <c r="F64" s="650"/>
      <c r="G64" s="650"/>
      <c r="H64" s="650"/>
      <c r="I64" s="650"/>
      <c r="J64" s="650"/>
      <c r="K64" s="650"/>
      <c r="L64" s="650"/>
      <c r="M64" s="650"/>
      <c r="N64" s="650"/>
      <c r="O64" s="650"/>
      <c r="P64" s="650"/>
      <c r="Q64" s="650"/>
      <c r="R64" s="621"/>
      <c r="S64" s="659"/>
      <c r="T64" s="622"/>
      <c r="U64" s="620"/>
      <c r="V64" s="620"/>
      <c r="W64" s="620"/>
      <c r="X64" s="620"/>
      <c r="Y64" s="620"/>
      <c r="Z64" s="620"/>
      <c r="AA64" s="620"/>
      <c r="AB64" s="622"/>
      <c r="AC64" s="622"/>
      <c r="AD64" s="622"/>
      <c r="AE64" s="622"/>
      <c r="AF64" s="622"/>
      <c r="AG64" s="170"/>
    </row>
    <row r="65" spans="2:33" x14ac:dyDescent="0.35">
      <c r="B65" s="663" t="s">
        <v>226</v>
      </c>
      <c r="C65" s="647">
        <f>1-(0.5*C66)</f>
        <v>0.875</v>
      </c>
      <c r="D65" s="650"/>
      <c r="E65" s="650"/>
      <c r="F65" s="650"/>
      <c r="G65" s="650"/>
      <c r="H65" s="650"/>
      <c r="I65" s="650"/>
      <c r="J65" s="650"/>
      <c r="K65" s="650"/>
      <c r="L65" s="650"/>
      <c r="M65" s="650"/>
      <c r="N65" s="650"/>
      <c r="O65" s="650"/>
      <c r="P65" s="650"/>
      <c r="Q65" s="650"/>
      <c r="R65" s="621"/>
      <c r="S65" s="659"/>
      <c r="T65" s="622"/>
      <c r="U65" s="620"/>
      <c r="V65" s="620"/>
      <c r="W65" s="620"/>
      <c r="X65" s="620"/>
      <c r="Y65" s="620"/>
      <c r="Z65" s="620"/>
      <c r="AA65" s="620"/>
      <c r="AB65" s="622"/>
      <c r="AC65" s="622"/>
      <c r="AD65" s="622"/>
      <c r="AE65" s="622"/>
      <c r="AF65" s="622"/>
      <c r="AG65" s="170"/>
    </row>
    <row r="66" spans="2:33" ht="36" x14ac:dyDescent="0.35">
      <c r="B66" s="663" t="s">
        <v>404</v>
      </c>
      <c r="C66" s="664">
        <f>IF(C33="",0.25,ROUND(MIN(0.25,((1-(($C$36/($I$36))/($C$33/($I$33))))/(1-$C$36/($C$33*'Optional D Test Recorded Data'!$D$13)))),2))</f>
        <v>0.25</v>
      </c>
      <c r="D66" s="650"/>
      <c r="E66" s="650"/>
      <c r="F66" s="650"/>
      <c r="G66" s="650"/>
      <c r="H66" s="650"/>
      <c r="I66" s="650"/>
      <c r="J66" s="650"/>
      <c r="K66" s="650"/>
      <c r="L66" s="650"/>
      <c r="M66" s="650"/>
      <c r="N66" s="650"/>
      <c r="O66" s="650"/>
      <c r="P66" s="650"/>
      <c r="Q66" s="650"/>
      <c r="R66" s="621"/>
      <c r="S66" s="659"/>
      <c r="T66" s="622"/>
      <c r="U66" s="620"/>
      <c r="V66" s="620"/>
      <c r="W66" s="620"/>
      <c r="X66" s="620"/>
      <c r="Y66" s="620"/>
      <c r="Z66" s="620"/>
      <c r="AA66" s="620"/>
      <c r="AB66" s="622"/>
      <c r="AC66" s="622"/>
      <c r="AD66" s="622"/>
      <c r="AE66" s="622"/>
      <c r="AF66" s="622"/>
      <c r="AG66" s="170"/>
    </row>
    <row r="67" spans="2:33" x14ac:dyDescent="0.35">
      <c r="B67" s="663" t="s">
        <v>405</v>
      </c>
      <c r="C67" s="647" t="e">
        <f>ROUND($C$30/$I$30,2)</f>
        <v>#VALUE!</v>
      </c>
      <c r="D67" s="650"/>
      <c r="E67" s="650"/>
      <c r="F67" s="650"/>
      <c r="G67" s="650"/>
      <c r="H67" s="650"/>
      <c r="I67" s="650"/>
      <c r="J67" s="650"/>
      <c r="K67" s="650"/>
      <c r="L67" s="650"/>
      <c r="M67" s="650"/>
      <c r="N67" s="650"/>
      <c r="O67" s="650"/>
      <c r="P67" s="650"/>
      <c r="Q67" s="650"/>
      <c r="R67" s="621"/>
      <c r="S67" s="659"/>
      <c r="T67" s="622"/>
      <c r="U67" s="620"/>
      <c r="V67" s="620"/>
      <c r="W67" s="620"/>
      <c r="X67" s="620"/>
      <c r="Y67" s="620"/>
      <c r="Z67" s="620"/>
      <c r="AA67" s="620"/>
      <c r="AB67" s="622"/>
      <c r="AC67" s="622"/>
      <c r="AD67" s="622"/>
      <c r="AE67" s="622"/>
      <c r="AF67" s="622"/>
      <c r="AG67" s="170"/>
    </row>
    <row r="68" spans="2:33" ht="41.25" customHeight="1" thickBot="1" x14ac:dyDescent="0.4">
      <c r="B68" s="658"/>
      <c r="C68" s="741" t="s">
        <v>625</v>
      </c>
      <c r="D68" s="918" t="s">
        <v>626</v>
      </c>
      <c r="E68" s="918"/>
      <c r="F68" s="650"/>
      <c r="G68" s="650"/>
      <c r="H68" s="650"/>
      <c r="I68" s="650"/>
      <c r="J68" s="650"/>
      <c r="K68" s="650"/>
      <c r="L68" s="650"/>
      <c r="M68" s="650"/>
      <c r="N68" s="650"/>
      <c r="O68" s="650"/>
      <c r="P68" s="650"/>
      <c r="Q68" s="650"/>
      <c r="R68" s="621"/>
      <c r="S68" s="659"/>
      <c r="T68" s="622"/>
      <c r="U68" s="620"/>
      <c r="V68" s="620"/>
      <c r="W68" s="620"/>
      <c r="X68" s="620"/>
      <c r="Y68" s="620"/>
      <c r="Z68" s="620"/>
      <c r="AA68" s="620"/>
      <c r="AB68" s="622"/>
      <c r="AC68" s="622"/>
      <c r="AD68" s="622"/>
      <c r="AE68" s="622"/>
      <c r="AF68" s="622"/>
      <c r="AG68" s="170"/>
    </row>
    <row r="69" spans="2:33" ht="18.75" thickBot="1" x14ac:dyDescent="0.4">
      <c r="B69" s="665" t="s">
        <v>204</v>
      </c>
      <c r="C69" s="742" t="e">
        <f>C65*C67</f>
        <v>#VALUE!</v>
      </c>
      <c r="D69" s="1040"/>
      <c r="E69" s="1040"/>
      <c r="F69" s="650"/>
      <c r="G69" s="650"/>
      <c r="H69" s="650"/>
      <c r="I69" s="650"/>
      <c r="J69" s="650"/>
      <c r="K69" s="650"/>
      <c r="L69" s="650"/>
      <c r="M69" s="650"/>
      <c r="N69" s="650"/>
      <c r="O69" s="650"/>
      <c r="P69" s="650"/>
      <c r="Q69" s="650"/>
      <c r="R69" s="621"/>
      <c r="S69" s="659"/>
      <c r="T69" s="622"/>
      <c r="U69" s="620"/>
      <c r="V69" s="620"/>
      <c r="W69" s="620"/>
      <c r="X69" s="620"/>
      <c r="Y69" s="620"/>
      <c r="Z69" s="620"/>
      <c r="AA69" s="620"/>
      <c r="AB69" s="622"/>
      <c r="AC69" s="622"/>
      <c r="AD69" s="622"/>
      <c r="AE69" s="622"/>
      <c r="AF69" s="622"/>
      <c r="AG69" s="170"/>
    </row>
    <row r="70" spans="2:33" x14ac:dyDescent="0.35">
      <c r="B70" s="658"/>
      <c r="C70" s="650"/>
      <c r="D70" s="650"/>
      <c r="E70" s="650"/>
      <c r="F70" s="650"/>
      <c r="G70" s="650"/>
      <c r="H70" s="650"/>
      <c r="I70" s="650"/>
      <c r="J70" s="650"/>
      <c r="K70" s="650"/>
      <c r="L70" s="650"/>
      <c r="M70" s="650"/>
      <c r="N70" s="650"/>
      <c r="O70" s="650"/>
      <c r="P70" s="650"/>
      <c r="Q70" s="650"/>
      <c r="R70" s="621"/>
      <c r="S70" s="659"/>
      <c r="T70" s="622"/>
      <c r="U70" s="620"/>
      <c r="V70" s="620"/>
      <c r="W70" s="620"/>
      <c r="X70" s="620"/>
      <c r="Y70" s="620"/>
      <c r="Z70" s="620"/>
      <c r="AA70" s="620"/>
      <c r="AB70" s="622"/>
      <c r="AC70" s="622"/>
      <c r="AD70" s="622"/>
      <c r="AE70" s="622"/>
      <c r="AF70" s="622"/>
      <c r="AG70" s="170"/>
    </row>
    <row r="71" spans="2:33" x14ac:dyDescent="0.35">
      <c r="B71" s="658"/>
      <c r="C71" s="650"/>
      <c r="D71" s="650"/>
      <c r="E71" s="650"/>
      <c r="F71" s="650"/>
      <c r="G71" s="650"/>
      <c r="H71" s="650"/>
      <c r="I71" s="650"/>
      <c r="J71" s="650"/>
      <c r="K71" s="650"/>
      <c r="L71" s="650"/>
      <c r="M71" s="650"/>
      <c r="N71" s="650"/>
      <c r="O71" s="650"/>
      <c r="P71" s="650"/>
      <c r="Q71" s="650"/>
      <c r="R71" s="621"/>
      <c r="S71" s="659"/>
      <c r="T71" s="622"/>
      <c r="U71" s="620"/>
      <c r="V71" s="620"/>
      <c r="W71" s="620"/>
      <c r="X71" s="620"/>
      <c r="Y71" s="620"/>
      <c r="Z71" s="620"/>
      <c r="AA71" s="620"/>
      <c r="AB71" s="622"/>
      <c r="AC71" s="622"/>
      <c r="AD71" s="622"/>
      <c r="AE71" s="622"/>
      <c r="AF71" s="622"/>
      <c r="AG71" s="170"/>
    </row>
    <row r="72" spans="2:33" x14ac:dyDescent="0.35">
      <c r="B72" s="660" t="s">
        <v>205</v>
      </c>
      <c r="C72" s="661"/>
      <c r="D72" s="661"/>
      <c r="E72" s="661"/>
      <c r="F72" s="661"/>
      <c r="G72" s="661"/>
      <c r="H72" s="661"/>
      <c r="I72" s="661"/>
      <c r="J72" s="661"/>
      <c r="K72" s="661"/>
      <c r="L72" s="661"/>
      <c r="M72" s="661"/>
      <c r="N72" s="661"/>
      <c r="O72" s="661"/>
      <c r="P72" s="661"/>
      <c r="Q72" s="661"/>
      <c r="R72" s="662"/>
      <c r="S72" s="659"/>
      <c r="T72" s="622"/>
      <c r="U72" s="620"/>
      <c r="V72" s="620"/>
      <c r="W72" s="620"/>
      <c r="X72" s="620"/>
      <c r="Y72" s="620"/>
      <c r="Z72" s="620"/>
      <c r="AA72" s="620"/>
      <c r="AB72" s="622"/>
      <c r="AC72" s="622"/>
      <c r="AD72" s="622"/>
      <c r="AE72" s="622"/>
      <c r="AF72" s="622"/>
      <c r="AG72" s="170"/>
    </row>
    <row r="73" spans="2:33" x14ac:dyDescent="0.35">
      <c r="B73" s="658"/>
      <c r="C73" s="621"/>
      <c r="D73" s="650"/>
      <c r="E73" s="650"/>
      <c r="F73" s="650"/>
      <c r="G73" s="650"/>
      <c r="H73" s="650"/>
      <c r="I73" s="650"/>
      <c r="J73" s="650"/>
      <c r="K73" s="650"/>
      <c r="L73" s="650"/>
      <c r="M73" s="650"/>
      <c r="N73" s="650"/>
      <c r="O73" s="650"/>
      <c r="P73" s="650"/>
      <c r="Q73" s="650"/>
      <c r="R73" s="621"/>
      <c r="S73" s="659"/>
      <c r="T73" s="622"/>
      <c r="U73" s="620"/>
      <c r="V73" s="620"/>
      <c r="W73" s="620"/>
      <c r="X73" s="620"/>
      <c r="Y73" s="620"/>
      <c r="Z73" s="620"/>
      <c r="AA73" s="620"/>
      <c r="AB73" s="622"/>
      <c r="AC73" s="622"/>
      <c r="AD73" s="622"/>
      <c r="AE73" s="622"/>
      <c r="AF73" s="622"/>
      <c r="AG73" s="170"/>
    </row>
    <row r="74" spans="2:33" ht="36" x14ac:dyDescent="0.35">
      <c r="B74" s="658" t="s">
        <v>404</v>
      </c>
      <c r="C74" s="664">
        <f>IF(C34="",0.25,ROUND(MIN(0.25,((1-((C37/(I37))/(C34/(I34))))/(1-C37/(C34*'Optional D Test Recorded Data'!D13)))),2))</f>
        <v>0.25</v>
      </c>
      <c r="D74" s="650"/>
      <c r="E74" s="650"/>
      <c r="F74" s="650"/>
      <c r="G74" s="650"/>
      <c r="H74" s="650"/>
      <c r="I74" s="650"/>
      <c r="J74" s="650"/>
      <c r="K74" s="650"/>
      <c r="L74" s="650"/>
      <c r="M74" s="650"/>
      <c r="N74" s="650"/>
      <c r="O74" s="650"/>
      <c r="P74" s="650"/>
      <c r="Q74" s="650"/>
      <c r="R74" s="621"/>
      <c r="S74" s="659"/>
      <c r="T74" s="622"/>
      <c r="U74" s="620"/>
      <c r="V74" s="620"/>
      <c r="W74" s="620"/>
      <c r="X74" s="620"/>
      <c r="Y74" s="620"/>
      <c r="Z74" s="620"/>
      <c r="AA74" s="620"/>
      <c r="AB74" s="622"/>
      <c r="AC74" s="622"/>
      <c r="AD74" s="622"/>
      <c r="AE74" s="622"/>
      <c r="AF74" s="622"/>
      <c r="AG74" s="170"/>
    </row>
    <row r="75" spans="2:33" x14ac:dyDescent="0.35">
      <c r="B75" s="658"/>
      <c r="C75" s="650"/>
      <c r="D75" s="650"/>
      <c r="E75" s="650"/>
      <c r="F75" s="650"/>
      <c r="G75" s="650"/>
      <c r="H75" s="650"/>
      <c r="I75" s="650"/>
      <c r="J75" s="650"/>
      <c r="K75" s="650"/>
      <c r="L75" s="650"/>
      <c r="M75" s="650"/>
      <c r="N75" s="650"/>
      <c r="O75" s="650"/>
      <c r="P75" s="650"/>
      <c r="Q75" s="650"/>
      <c r="R75" s="621"/>
      <c r="S75" s="659"/>
      <c r="T75" s="622"/>
      <c r="U75" s="620"/>
      <c r="V75" s="620"/>
      <c r="W75" s="620"/>
      <c r="X75" s="620"/>
      <c r="Y75" s="620"/>
      <c r="Z75" s="620"/>
      <c r="AA75" s="620"/>
      <c r="AB75" s="622"/>
      <c r="AC75" s="622"/>
      <c r="AD75" s="622"/>
      <c r="AE75" s="622"/>
      <c r="AF75" s="622"/>
      <c r="AG75" s="170"/>
    </row>
    <row r="76" spans="2:33" x14ac:dyDescent="0.35">
      <c r="B76" s="667" t="s">
        <v>132</v>
      </c>
      <c r="C76" s="668" t="s">
        <v>399</v>
      </c>
      <c r="D76" s="668" t="s">
        <v>113</v>
      </c>
      <c r="E76" s="668" t="s">
        <v>401</v>
      </c>
      <c r="F76" s="668" t="s">
        <v>220</v>
      </c>
      <c r="G76" s="668" t="s">
        <v>219</v>
      </c>
      <c r="H76" s="668" t="s">
        <v>217</v>
      </c>
      <c r="I76" s="668" t="s">
        <v>218</v>
      </c>
      <c r="J76" s="668" t="s">
        <v>111</v>
      </c>
      <c r="K76" s="668" t="s">
        <v>221</v>
      </c>
      <c r="L76" s="668" t="s">
        <v>222</v>
      </c>
      <c r="M76" s="668" t="s">
        <v>223</v>
      </c>
      <c r="N76" s="668" t="s">
        <v>116</v>
      </c>
      <c r="O76" s="668" t="s">
        <v>224</v>
      </c>
      <c r="P76" s="668" t="s">
        <v>225</v>
      </c>
      <c r="Q76" s="650"/>
      <c r="R76" s="621"/>
      <c r="S76" s="659"/>
      <c r="T76" s="622"/>
      <c r="U76" s="620"/>
      <c r="V76" s="620"/>
      <c r="W76" s="620"/>
      <c r="X76" s="620"/>
      <c r="Y76" s="620"/>
      <c r="Z76" s="620"/>
      <c r="AA76" s="620"/>
      <c r="AB76" s="622"/>
      <c r="AC76" s="622"/>
      <c r="AD76" s="622"/>
      <c r="AE76" s="622"/>
      <c r="AF76" s="622"/>
      <c r="AG76" s="170"/>
    </row>
    <row r="77" spans="2:33" x14ac:dyDescent="0.35">
      <c r="B77" s="669">
        <f>Tables!A26</f>
        <v>1</v>
      </c>
      <c r="C77" s="647">
        <f>Tables!C26</f>
        <v>67</v>
      </c>
      <c r="D77" s="647">
        <f>Tables!D26</f>
        <v>0.214</v>
      </c>
      <c r="E77" s="670" t="e">
        <f>IF(D77="","",((C77-65)/(95-65))*($C$29/1.1))</f>
        <v>#VALUE!</v>
      </c>
      <c r="F77" s="647" t="e">
        <f>$C$31+((($C$28-$C$31)/(95-82))*(C77-82))</f>
        <v>#VALUE!</v>
      </c>
      <c r="G77" s="647" t="e">
        <f t="shared" ref="G77:G84" si="2">$C$32+((($C$29-$C$32)/(95-82))*(C77-82))</f>
        <v>#VALUE!</v>
      </c>
      <c r="H77" s="671"/>
      <c r="I77" s="647" t="e">
        <f>F77+(((G77-F77)/('A Test Recorded Data'!$D$132-'A Test Recorded Data'!$D$62))*(H77-'A Test Recorded Data'!$D$62))</f>
        <v>#VALUE!</v>
      </c>
      <c r="J77" s="647" t="e">
        <f>MIN(E77/I77,1)</f>
        <v>#VALUE!</v>
      </c>
      <c r="K77" s="647">
        <f>$I$31+((($I$28-$I$31)/(95-82))*(C77-82))</f>
        <v>0</v>
      </c>
      <c r="L77" s="647">
        <f>$I$32+((($I$29-$I$32)/(95-82))*(C77-82))</f>
        <v>0</v>
      </c>
      <c r="M77" s="647" t="e">
        <f>K77+(((L77-K77)/('A Test Recorded Data'!$D$132-'A Test Recorded Data'!$D$62))*(H77-'A Test Recorded Data'!$D$62))</f>
        <v>#DIV/0!</v>
      </c>
      <c r="N77" s="647" t="e">
        <f>1-$C$74*(1-J77)</f>
        <v>#VALUE!</v>
      </c>
      <c r="O77" s="647" t="e">
        <f>((J77*M77)/N77)*D77</f>
        <v>#VALUE!</v>
      </c>
      <c r="P77" s="647" t="e">
        <f>J77*I77*D77</f>
        <v>#VALUE!</v>
      </c>
      <c r="Q77" s="650"/>
      <c r="R77" s="621"/>
      <c r="S77" s="659"/>
      <c r="T77" s="622"/>
      <c r="U77" s="620"/>
      <c r="V77" s="620"/>
      <c r="W77" s="620"/>
      <c r="X77" s="620"/>
      <c r="Y77" s="620"/>
      <c r="Z77" s="620"/>
      <c r="AA77" s="620"/>
      <c r="AB77" s="622"/>
      <c r="AC77" s="622"/>
      <c r="AD77" s="622"/>
      <c r="AE77" s="622"/>
      <c r="AF77" s="622"/>
      <c r="AG77" s="170"/>
    </row>
    <row r="78" spans="2:33" x14ac:dyDescent="0.35">
      <c r="B78" s="669">
        <f>Tables!A27</f>
        <v>2</v>
      </c>
      <c r="C78" s="647">
        <f>Tables!C27</f>
        <v>72</v>
      </c>
      <c r="D78" s="647">
        <f>Tables!D27</f>
        <v>0.23100000000000001</v>
      </c>
      <c r="E78" s="670" t="e">
        <f t="shared" ref="E78:E84" si="3">IF(D78="","",((C78-65)/(95-65))*($C$29/1.1))</f>
        <v>#VALUE!</v>
      </c>
      <c r="F78" s="647" t="e">
        <f t="shared" ref="F78:F84" si="4">$C$31+((($C$28-$C$31)/(95-82))*(C78-82))</f>
        <v>#VALUE!</v>
      </c>
      <c r="G78" s="647" t="e">
        <f t="shared" si="2"/>
        <v>#VALUE!</v>
      </c>
      <c r="H78" s="671"/>
      <c r="I78" s="647" t="e">
        <f>F78+(((G78-F78)/('A Test Recorded Data'!$D$132-'A Test Recorded Data'!$D$62))*(H78-'A Test Recorded Data'!$D$62))</f>
        <v>#VALUE!</v>
      </c>
      <c r="J78" s="647" t="e">
        <f t="shared" ref="J78:J84" si="5">MIN(E78/I78,1)</f>
        <v>#VALUE!</v>
      </c>
      <c r="K78" s="647">
        <f t="shared" ref="K78:K84" si="6">$I$31+((($I$28-$I$31)/(95-82))*(C78-82))</f>
        <v>0</v>
      </c>
      <c r="L78" s="647">
        <f t="shared" ref="L78:L84" si="7">$I$32+((($I$29-$I$32)/(95-82))*(C78-82))</f>
        <v>0</v>
      </c>
      <c r="M78" s="647" t="e">
        <f>K78+(((L78-K78)/('A Test Recorded Data'!$D$132-'A Test Recorded Data'!$D$62))*(H78-'A Test Recorded Data'!$D$62))</f>
        <v>#DIV/0!</v>
      </c>
      <c r="N78" s="647" t="e">
        <f t="shared" ref="N78:N84" si="8">1-$C$74*(1-J78)</f>
        <v>#VALUE!</v>
      </c>
      <c r="O78" s="647" t="e">
        <f t="shared" ref="O78:O84" si="9">((J78*M78)/N78)*D78</f>
        <v>#VALUE!</v>
      </c>
      <c r="P78" s="647" t="e">
        <f t="shared" ref="P78:P84" si="10">J78*I78*D78</f>
        <v>#VALUE!</v>
      </c>
      <c r="Q78" s="650"/>
      <c r="R78" s="621"/>
      <c r="S78" s="659"/>
      <c r="T78" s="622"/>
      <c r="U78" s="620"/>
      <c r="V78" s="620"/>
      <c r="W78" s="620"/>
      <c r="X78" s="620"/>
      <c r="Y78" s="620"/>
      <c r="Z78" s="620"/>
      <c r="AA78" s="620"/>
      <c r="AB78" s="622"/>
      <c r="AC78" s="622"/>
      <c r="AD78" s="622"/>
      <c r="AE78" s="622"/>
      <c r="AF78" s="622"/>
      <c r="AG78" s="170"/>
    </row>
    <row r="79" spans="2:33" x14ac:dyDescent="0.35">
      <c r="B79" s="669">
        <f>Tables!A28</f>
        <v>3</v>
      </c>
      <c r="C79" s="647">
        <f>Tables!C28</f>
        <v>77</v>
      </c>
      <c r="D79" s="647">
        <f>Tables!D28</f>
        <v>0.216</v>
      </c>
      <c r="E79" s="670" t="e">
        <f t="shared" si="3"/>
        <v>#VALUE!</v>
      </c>
      <c r="F79" s="647" t="e">
        <f t="shared" si="4"/>
        <v>#VALUE!</v>
      </c>
      <c r="G79" s="647" t="e">
        <f>$C$32+((($C$29-$C$32)/(95-82))*(C79-82))</f>
        <v>#VALUE!</v>
      </c>
      <c r="H79" s="671"/>
      <c r="I79" s="647" t="e">
        <f>F79+(((G79-F79)/('A Test Recorded Data'!$D$132-'A Test Recorded Data'!$D$62))*(H79-'A Test Recorded Data'!$D$62))</f>
        <v>#VALUE!</v>
      </c>
      <c r="J79" s="647" t="e">
        <f t="shared" si="5"/>
        <v>#VALUE!</v>
      </c>
      <c r="K79" s="647">
        <f t="shared" si="6"/>
        <v>0</v>
      </c>
      <c r="L79" s="647">
        <f t="shared" si="7"/>
        <v>0</v>
      </c>
      <c r="M79" s="647" t="e">
        <f>K79+(((L79-K79)/('A Test Recorded Data'!$D$132-'A Test Recorded Data'!$D$62))*(H79-'A Test Recorded Data'!$D$62))</f>
        <v>#DIV/0!</v>
      </c>
      <c r="N79" s="647" t="e">
        <f t="shared" si="8"/>
        <v>#VALUE!</v>
      </c>
      <c r="O79" s="647" t="e">
        <f t="shared" si="9"/>
        <v>#VALUE!</v>
      </c>
      <c r="P79" s="647" t="e">
        <f t="shared" si="10"/>
        <v>#VALUE!</v>
      </c>
      <c r="Q79" s="621"/>
      <c r="R79" s="621"/>
      <c r="S79" s="659"/>
      <c r="T79" s="622"/>
      <c r="U79" s="620"/>
      <c r="V79" s="620"/>
      <c r="W79" s="620"/>
      <c r="X79" s="620"/>
      <c r="Y79" s="620"/>
      <c r="Z79" s="620"/>
      <c r="AA79" s="620"/>
      <c r="AB79" s="622"/>
      <c r="AC79" s="622"/>
      <c r="AD79" s="622"/>
      <c r="AE79" s="622"/>
      <c r="AF79" s="622"/>
      <c r="AG79" s="170"/>
    </row>
    <row r="80" spans="2:33" x14ac:dyDescent="0.35">
      <c r="B80" s="669">
        <f>Tables!A29</f>
        <v>4</v>
      </c>
      <c r="C80" s="647">
        <f>Tables!C29</f>
        <v>82</v>
      </c>
      <c r="D80" s="647">
        <f>Tables!D29</f>
        <v>0.161</v>
      </c>
      <c r="E80" s="670" t="e">
        <f t="shared" si="3"/>
        <v>#VALUE!</v>
      </c>
      <c r="F80" s="647" t="e">
        <f t="shared" si="4"/>
        <v>#VALUE!</v>
      </c>
      <c r="G80" s="647" t="e">
        <f t="shared" si="2"/>
        <v>#VALUE!</v>
      </c>
      <c r="H80" s="671"/>
      <c r="I80" s="647" t="e">
        <f>F80+(((G80-F80)/('A Test Recorded Data'!$D$132-'A Test Recorded Data'!$D$62))*(H80-'A Test Recorded Data'!$D$62))</f>
        <v>#VALUE!</v>
      </c>
      <c r="J80" s="647" t="e">
        <f t="shared" si="5"/>
        <v>#VALUE!</v>
      </c>
      <c r="K80" s="647">
        <f t="shared" si="6"/>
        <v>0</v>
      </c>
      <c r="L80" s="647">
        <f t="shared" si="7"/>
        <v>0</v>
      </c>
      <c r="M80" s="647" t="e">
        <f>K80+(((L80-K80)/('A Test Recorded Data'!$D$132-'A Test Recorded Data'!$D$62))*(H80-'A Test Recorded Data'!$D$62))</f>
        <v>#DIV/0!</v>
      </c>
      <c r="N80" s="647" t="e">
        <f t="shared" si="8"/>
        <v>#VALUE!</v>
      </c>
      <c r="O80" s="647" t="e">
        <f>((J80*M80)/N80)*D80</f>
        <v>#VALUE!</v>
      </c>
      <c r="P80" s="647" t="e">
        <f t="shared" si="10"/>
        <v>#VALUE!</v>
      </c>
      <c r="Q80" s="621"/>
      <c r="R80" s="621"/>
      <c r="S80" s="659"/>
      <c r="T80" s="622"/>
      <c r="U80" s="620"/>
      <c r="V80" s="620"/>
      <c r="W80" s="620"/>
      <c r="X80" s="620"/>
      <c r="Y80" s="620"/>
      <c r="Z80" s="620"/>
      <c r="AA80" s="620"/>
      <c r="AB80" s="622"/>
      <c r="AC80" s="622"/>
      <c r="AD80" s="622"/>
      <c r="AE80" s="622"/>
      <c r="AF80" s="622"/>
      <c r="AG80" s="170"/>
    </row>
    <row r="81" spans="2:59" x14ac:dyDescent="0.35">
      <c r="B81" s="669">
        <f>Tables!A30</f>
        <v>5</v>
      </c>
      <c r="C81" s="647">
        <f>Tables!C30</f>
        <v>87</v>
      </c>
      <c r="D81" s="647">
        <f>Tables!D30</f>
        <v>0.104</v>
      </c>
      <c r="E81" s="670" t="e">
        <f t="shared" si="3"/>
        <v>#VALUE!</v>
      </c>
      <c r="F81" s="647" t="e">
        <f t="shared" si="4"/>
        <v>#VALUE!</v>
      </c>
      <c r="G81" s="647" t="e">
        <f t="shared" si="2"/>
        <v>#VALUE!</v>
      </c>
      <c r="H81" s="671"/>
      <c r="I81" s="647" t="e">
        <f>F81+(((G81-F81)/('A Test Recorded Data'!$D$132-'A Test Recorded Data'!$D$62))*(H81-'A Test Recorded Data'!$D$62))</f>
        <v>#VALUE!</v>
      </c>
      <c r="J81" s="647" t="e">
        <f t="shared" si="5"/>
        <v>#VALUE!</v>
      </c>
      <c r="K81" s="647">
        <f t="shared" si="6"/>
        <v>0</v>
      </c>
      <c r="L81" s="647">
        <f t="shared" si="7"/>
        <v>0</v>
      </c>
      <c r="M81" s="647" t="e">
        <f>K81+(((L81-K81)/('A Test Recorded Data'!$D$132-'A Test Recorded Data'!$D$62))*(H81-'A Test Recorded Data'!$D$62))</f>
        <v>#DIV/0!</v>
      </c>
      <c r="N81" s="647" t="e">
        <f t="shared" si="8"/>
        <v>#VALUE!</v>
      </c>
      <c r="O81" s="647" t="e">
        <f t="shared" si="9"/>
        <v>#VALUE!</v>
      </c>
      <c r="P81" s="647" t="e">
        <f t="shared" si="10"/>
        <v>#VALUE!</v>
      </c>
      <c r="Q81" s="621"/>
      <c r="R81" s="621"/>
      <c r="S81" s="659"/>
      <c r="T81" s="622"/>
      <c r="U81" s="620"/>
      <c r="V81" s="620"/>
      <c r="W81" s="620"/>
      <c r="X81" s="620"/>
      <c r="Y81" s="620"/>
      <c r="Z81" s="620"/>
      <c r="AA81" s="620"/>
      <c r="AB81" s="622"/>
      <c r="AC81" s="622"/>
      <c r="AD81" s="622"/>
      <c r="AE81" s="622"/>
      <c r="AF81" s="622"/>
      <c r="AG81" s="170"/>
    </row>
    <row r="82" spans="2:59" x14ac:dyDescent="0.35">
      <c r="B82" s="669">
        <f>Tables!A31</f>
        <v>6</v>
      </c>
      <c r="C82" s="647">
        <f>Tables!C31</f>
        <v>92</v>
      </c>
      <c r="D82" s="647">
        <f>Tables!D31</f>
        <v>5.1999999999999998E-2</v>
      </c>
      <c r="E82" s="670" t="e">
        <f t="shared" si="3"/>
        <v>#VALUE!</v>
      </c>
      <c r="F82" s="647" t="e">
        <f t="shared" si="4"/>
        <v>#VALUE!</v>
      </c>
      <c r="G82" s="647" t="e">
        <f t="shared" si="2"/>
        <v>#VALUE!</v>
      </c>
      <c r="H82" s="671"/>
      <c r="I82" s="647" t="e">
        <f>F82+(((G82-F82)/('A Test Recorded Data'!$D$132-'A Test Recorded Data'!$D$62))*(H82-'A Test Recorded Data'!$D$62))</f>
        <v>#VALUE!</v>
      </c>
      <c r="J82" s="647" t="e">
        <f t="shared" si="5"/>
        <v>#VALUE!</v>
      </c>
      <c r="K82" s="647">
        <f t="shared" si="6"/>
        <v>0</v>
      </c>
      <c r="L82" s="647">
        <f t="shared" si="7"/>
        <v>0</v>
      </c>
      <c r="M82" s="647" t="e">
        <f>K82+(((L82-K82)/('A Test Recorded Data'!$D$132-'A Test Recorded Data'!$D$62))*(H82-'A Test Recorded Data'!$D$62))</f>
        <v>#DIV/0!</v>
      </c>
      <c r="N82" s="647" t="e">
        <f t="shared" si="8"/>
        <v>#VALUE!</v>
      </c>
      <c r="O82" s="647" t="e">
        <f t="shared" si="9"/>
        <v>#VALUE!</v>
      </c>
      <c r="P82" s="647" t="e">
        <f t="shared" si="10"/>
        <v>#VALUE!</v>
      </c>
      <c r="Q82" s="621"/>
      <c r="R82" s="621"/>
      <c r="S82" s="659"/>
      <c r="T82" s="622"/>
      <c r="U82" s="620"/>
      <c r="V82" s="620"/>
      <c r="W82" s="620"/>
      <c r="X82" s="620"/>
      <c r="Y82" s="620"/>
      <c r="Z82" s="620"/>
      <c r="AA82" s="620"/>
      <c r="AB82" s="622"/>
      <c r="AC82" s="622"/>
      <c r="AD82" s="622"/>
      <c r="AE82" s="622"/>
      <c r="AF82" s="622"/>
      <c r="AG82" s="170"/>
    </row>
    <row r="83" spans="2:59" x14ac:dyDescent="0.35">
      <c r="B83" s="669">
        <f>Tables!A32</f>
        <v>7</v>
      </c>
      <c r="C83" s="647">
        <f>Tables!C32</f>
        <v>97</v>
      </c>
      <c r="D83" s="647">
        <f>Tables!D32</f>
        <v>1.7999999999999999E-2</v>
      </c>
      <c r="E83" s="670" t="e">
        <f t="shared" si="3"/>
        <v>#VALUE!</v>
      </c>
      <c r="F83" s="647" t="e">
        <f t="shared" si="4"/>
        <v>#VALUE!</v>
      </c>
      <c r="G83" s="647" t="e">
        <f t="shared" si="2"/>
        <v>#VALUE!</v>
      </c>
      <c r="H83" s="671"/>
      <c r="I83" s="647" t="e">
        <f>F83+(((G83-F83)/('A Test Recorded Data'!$D$132-'A Test Recorded Data'!$D$62))*(H83-'A Test Recorded Data'!$D$62))</f>
        <v>#VALUE!</v>
      </c>
      <c r="J83" s="647" t="e">
        <f t="shared" si="5"/>
        <v>#VALUE!</v>
      </c>
      <c r="K83" s="647">
        <f t="shared" si="6"/>
        <v>0</v>
      </c>
      <c r="L83" s="647">
        <f t="shared" si="7"/>
        <v>0</v>
      </c>
      <c r="M83" s="647" t="e">
        <f>K83+(((L83-K83)/('A Test Recorded Data'!$D$132-'A Test Recorded Data'!$D$62))*(H83-'A Test Recorded Data'!$D$62))</f>
        <v>#DIV/0!</v>
      </c>
      <c r="N83" s="647" t="e">
        <f t="shared" si="8"/>
        <v>#VALUE!</v>
      </c>
      <c r="O83" s="647" t="e">
        <f t="shared" si="9"/>
        <v>#VALUE!</v>
      </c>
      <c r="P83" s="647" t="e">
        <f t="shared" si="10"/>
        <v>#VALUE!</v>
      </c>
      <c r="Q83" s="621"/>
      <c r="R83" s="621"/>
      <c r="S83" s="659"/>
      <c r="T83" s="622"/>
      <c r="U83" s="620"/>
      <c r="V83" s="620"/>
      <c r="W83" s="620"/>
      <c r="X83" s="620"/>
      <c r="Y83" s="620"/>
      <c r="Z83" s="620"/>
      <c r="AA83" s="620"/>
      <c r="AB83" s="622"/>
      <c r="AC83" s="622"/>
      <c r="AD83" s="622"/>
      <c r="AE83" s="622"/>
      <c r="AF83" s="622"/>
      <c r="AG83" s="170"/>
    </row>
    <row r="84" spans="2:59" x14ac:dyDescent="0.35">
      <c r="B84" s="669">
        <f>Tables!A33</f>
        <v>8</v>
      </c>
      <c r="C84" s="647">
        <f>Tables!C33</f>
        <v>102</v>
      </c>
      <c r="D84" s="647">
        <f>Tables!D33</f>
        <v>4.0000000000000001E-3</v>
      </c>
      <c r="E84" s="670" t="e">
        <f t="shared" si="3"/>
        <v>#VALUE!</v>
      </c>
      <c r="F84" s="647" t="e">
        <f t="shared" si="4"/>
        <v>#VALUE!</v>
      </c>
      <c r="G84" s="647" t="e">
        <f t="shared" si="2"/>
        <v>#VALUE!</v>
      </c>
      <c r="H84" s="671"/>
      <c r="I84" s="647" t="e">
        <f>F84+(((G84-F84)/('A Test Recorded Data'!$D$132-'A Test Recorded Data'!$D$62))*(H84-'A Test Recorded Data'!$D$62))</f>
        <v>#VALUE!</v>
      </c>
      <c r="J84" s="647" t="e">
        <f t="shared" si="5"/>
        <v>#VALUE!</v>
      </c>
      <c r="K84" s="647">
        <f t="shared" si="6"/>
        <v>0</v>
      </c>
      <c r="L84" s="647">
        <f t="shared" si="7"/>
        <v>0</v>
      </c>
      <c r="M84" s="647" t="e">
        <f>K84+(((L84-K84)/('A Test Recorded Data'!$D$132-'A Test Recorded Data'!$D$62))*(H84-'A Test Recorded Data'!$D$62))</f>
        <v>#DIV/0!</v>
      </c>
      <c r="N84" s="647" t="e">
        <f t="shared" si="8"/>
        <v>#VALUE!</v>
      </c>
      <c r="O84" s="647" t="e">
        <f t="shared" si="9"/>
        <v>#VALUE!</v>
      </c>
      <c r="P84" s="647" t="e">
        <f t="shared" si="10"/>
        <v>#VALUE!</v>
      </c>
      <c r="Q84" s="621"/>
      <c r="R84" s="621"/>
      <c r="S84" s="659"/>
      <c r="T84" s="622"/>
      <c r="U84" s="620"/>
      <c r="V84" s="620"/>
      <c r="W84" s="620"/>
      <c r="X84" s="620"/>
      <c r="Y84" s="620"/>
      <c r="Z84" s="620"/>
      <c r="AA84" s="620"/>
      <c r="AB84" s="622"/>
      <c r="AC84" s="622"/>
      <c r="AD84" s="622"/>
      <c r="AE84" s="622"/>
      <c r="AF84" s="622"/>
      <c r="AG84" s="170"/>
    </row>
    <row r="85" spans="2:59" x14ac:dyDescent="0.35">
      <c r="B85" s="658"/>
      <c r="C85" s="650"/>
      <c r="D85" s="621"/>
      <c r="E85" s="621"/>
      <c r="F85" s="621"/>
      <c r="G85" s="621"/>
      <c r="H85" s="621"/>
      <c r="I85" s="621"/>
      <c r="J85" s="621"/>
      <c r="K85" s="621"/>
      <c r="L85" s="621"/>
      <c r="M85" s="621"/>
      <c r="N85" s="621"/>
      <c r="O85" s="621"/>
      <c r="P85" s="621"/>
      <c r="Q85" s="621"/>
      <c r="R85" s="621"/>
      <c r="S85" s="659"/>
      <c r="T85" s="622"/>
      <c r="U85" s="620"/>
      <c r="V85" s="620"/>
      <c r="W85" s="620"/>
      <c r="X85" s="620"/>
      <c r="Y85" s="620"/>
      <c r="Z85" s="620"/>
      <c r="AA85" s="620"/>
      <c r="AB85" s="622"/>
      <c r="AC85" s="622"/>
      <c r="AD85" s="622"/>
      <c r="AE85" s="622"/>
      <c r="AF85" s="622"/>
      <c r="AG85" s="170"/>
    </row>
    <row r="86" spans="2:59" x14ac:dyDescent="0.35">
      <c r="B86" s="663" t="s">
        <v>227</v>
      </c>
      <c r="C86" s="670" t="e">
        <f>SUM(P77:P84)</f>
        <v>#VALUE!</v>
      </c>
      <c r="D86" s="621"/>
      <c r="E86" s="621"/>
      <c r="F86" s="621"/>
      <c r="G86" s="621"/>
      <c r="H86" s="621"/>
      <c r="I86" s="621"/>
      <c r="J86" s="621"/>
      <c r="K86" s="621"/>
      <c r="L86" s="621"/>
      <c r="M86" s="621"/>
      <c r="N86" s="621"/>
      <c r="O86" s="621"/>
      <c r="P86" s="621"/>
      <c r="Q86" s="621"/>
      <c r="R86" s="621"/>
      <c r="S86" s="659"/>
      <c r="T86" s="622"/>
      <c r="U86" s="620"/>
      <c r="V86" s="620"/>
      <c r="W86" s="620"/>
      <c r="X86" s="620"/>
      <c r="Y86" s="620"/>
      <c r="Z86" s="620"/>
      <c r="AA86" s="620"/>
      <c r="AB86" s="622"/>
      <c r="AC86" s="622"/>
      <c r="AD86" s="622"/>
      <c r="AE86" s="622"/>
      <c r="AF86" s="622"/>
      <c r="AG86" s="170"/>
    </row>
    <row r="87" spans="2:59" ht="18.75" thickBot="1" x14ac:dyDescent="0.4">
      <c r="B87" s="663" t="s">
        <v>228</v>
      </c>
      <c r="C87" s="670" t="e">
        <f>SUM(O77:O84)</f>
        <v>#VALUE!</v>
      </c>
      <c r="D87" s="621"/>
      <c r="E87" s="621"/>
      <c r="F87" s="621"/>
      <c r="G87" s="621"/>
      <c r="H87" s="621"/>
      <c r="I87" s="621"/>
      <c r="J87" s="621"/>
      <c r="K87" s="621"/>
      <c r="L87" s="621"/>
      <c r="M87" s="621"/>
      <c r="N87" s="621"/>
      <c r="O87" s="621"/>
      <c r="P87" s="621"/>
      <c r="Q87" s="621"/>
      <c r="R87" s="621"/>
      <c r="S87" s="659"/>
      <c r="T87" s="622"/>
      <c r="U87" s="622"/>
      <c r="V87" s="622"/>
      <c r="W87" s="622"/>
      <c r="X87" s="622"/>
      <c r="Y87" s="622"/>
      <c r="Z87" s="622"/>
      <c r="AA87" s="622"/>
      <c r="AB87" s="622"/>
      <c r="AC87" s="622"/>
      <c r="AD87" s="622"/>
      <c r="AE87" s="622"/>
      <c r="AF87" s="622"/>
      <c r="AG87" s="170"/>
    </row>
    <row r="88" spans="2:59" ht="39.75" customHeight="1" thickBot="1" x14ac:dyDescent="0.4">
      <c r="B88" s="658"/>
      <c r="C88" s="741" t="s">
        <v>625</v>
      </c>
      <c r="D88" s="918" t="s">
        <v>626</v>
      </c>
      <c r="E88" s="918"/>
      <c r="F88" s="621"/>
      <c r="G88" s="621"/>
      <c r="H88" s="621"/>
      <c r="I88" s="621"/>
      <c r="J88" s="621"/>
      <c r="K88" s="621"/>
      <c r="L88" s="621"/>
      <c r="M88" s="621"/>
      <c r="N88" s="621"/>
      <c r="O88" s="621"/>
      <c r="P88" s="621"/>
      <c r="Q88" s="621"/>
      <c r="R88" s="621"/>
      <c r="S88" s="659"/>
      <c r="T88" s="622"/>
      <c r="U88" s="1065" t="s">
        <v>279</v>
      </c>
      <c r="V88" s="1066"/>
      <c r="W88" s="1066"/>
      <c r="X88" s="1066"/>
      <c r="Y88" s="1066"/>
      <c r="Z88" s="1066"/>
      <c r="AA88" s="1067"/>
      <c r="AB88" s="622"/>
      <c r="AC88" s="622"/>
      <c r="AD88" s="622"/>
      <c r="AE88" s="622"/>
      <c r="AF88" s="622"/>
      <c r="AG88" s="170"/>
    </row>
    <row r="89" spans="2:59" ht="18.75" thickBot="1" x14ac:dyDescent="0.4">
      <c r="B89" s="665" t="s">
        <v>204</v>
      </c>
      <c r="C89" s="666" t="e">
        <f>C86/C87</f>
        <v>#VALUE!</v>
      </c>
      <c r="D89" s="1040"/>
      <c r="E89" s="1040"/>
      <c r="F89" s="621"/>
      <c r="G89" s="621"/>
      <c r="H89" s="621"/>
      <c r="I89" s="621"/>
      <c r="J89" s="621"/>
      <c r="K89" s="621"/>
      <c r="L89" s="621"/>
      <c r="M89" s="621"/>
      <c r="N89" s="621"/>
      <c r="O89" s="621"/>
      <c r="P89" s="621"/>
      <c r="Q89" s="621"/>
      <c r="R89" s="621"/>
      <c r="S89" s="659"/>
      <c r="T89" s="622"/>
      <c r="U89" s="672"/>
      <c r="V89" s="673"/>
      <c r="W89" s="673"/>
      <c r="X89" s="673"/>
      <c r="Y89" s="673"/>
      <c r="Z89" s="673"/>
      <c r="AA89" s="674"/>
      <c r="AB89" s="622"/>
      <c r="AC89" s="622"/>
      <c r="AD89" s="622"/>
      <c r="AE89" s="622"/>
      <c r="AF89" s="622"/>
      <c r="AG89" s="170"/>
    </row>
    <row r="90" spans="2:59" x14ac:dyDescent="0.35">
      <c r="B90" s="643"/>
      <c r="C90" s="621"/>
      <c r="D90" s="621"/>
      <c r="E90" s="621"/>
      <c r="F90" s="621"/>
      <c r="G90" s="621"/>
      <c r="H90" s="621"/>
      <c r="I90" s="621"/>
      <c r="J90" s="621"/>
      <c r="K90" s="621"/>
      <c r="L90" s="621"/>
      <c r="M90" s="621"/>
      <c r="N90" s="621"/>
      <c r="O90" s="621"/>
      <c r="P90" s="621"/>
      <c r="Q90" s="621"/>
      <c r="R90" s="621"/>
      <c r="S90" s="659"/>
      <c r="T90" s="622"/>
      <c r="U90" s="675"/>
      <c r="V90" s="676"/>
      <c r="W90" s="677" t="s">
        <v>239</v>
      </c>
      <c r="X90" s="677"/>
      <c r="Y90" s="677" t="s">
        <v>240</v>
      </c>
      <c r="Z90" s="678" t="e">
        <f>($C$29/1.1)*(1/(95-65))</f>
        <v>#VALUE!</v>
      </c>
      <c r="AA90" s="679"/>
      <c r="AB90" s="622"/>
      <c r="AC90" s="622"/>
      <c r="AD90" s="622"/>
      <c r="AE90" s="622"/>
      <c r="AF90" s="622"/>
      <c r="AG90" s="170"/>
    </row>
    <row r="91" spans="2:59" x14ac:dyDescent="0.35">
      <c r="B91" s="660" t="s">
        <v>229</v>
      </c>
      <c r="C91" s="661"/>
      <c r="D91" s="661"/>
      <c r="E91" s="661"/>
      <c r="F91" s="661"/>
      <c r="G91" s="661"/>
      <c r="H91" s="661"/>
      <c r="I91" s="661"/>
      <c r="J91" s="661"/>
      <c r="K91" s="661"/>
      <c r="L91" s="661"/>
      <c r="M91" s="661"/>
      <c r="N91" s="661"/>
      <c r="O91" s="661"/>
      <c r="P91" s="661"/>
      <c r="Q91" s="661"/>
      <c r="R91" s="662"/>
      <c r="S91" s="659"/>
      <c r="T91" s="622"/>
      <c r="U91" s="675"/>
      <c r="V91" s="676"/>
      <c r="W91" s="677" t="s">
        <v>243</v>
      </c>
      <c r="X91" s="677"/>
      <c r="Y91" s="677" t="s">
        <v>241</v>
      </c>
      <c r="Z91" s="678" t="e">
        <f>(C$31-C$39)/(82-67)</f>
        <v>#VALUE!</v>
      </c>
      <c r="AA91" s="679"/>
      <c r="AB91" s="622"/>
      <c r="AC91" s="622"/>
      <c r="AD91" s="622"/>
      <c r="AE91" s="622"/>
      <c r="AF91" s="622"/>
      <c r="AG91" s="170"/>
      <c r="BE91" s="168"/>
      <c r="BF91" s="168"/>
      <c r="BG91" s="168"/>
    </row>
    <row r="92" spans="2:59" x14ac:dyDescent="0.35">
      <c r="B92" s="658"/>
      <c r="C92" s="621"/>
      <c r="D92" s="650"/>
      <c r="E92" s="650"/>
      <c r="F92" s="650"/>
      <c r="G92" s="650"/>
      <c r="H92" s="650"/>
      <c r="I92" s="650"/>
      <c r="J92" s="650"/>
      <c r="K92" s="650"/>
      <c r="L92" s="650"/>
      <c r="M92" s="650"/>
      <c r="N92" s="650"/>
      <c r="O92" s="650"/>
      <c r="P92" s="650"/>
      <c r="Q92" s="650"/>
      <c r="R92" s="621"/>
      <c r="S92" s="659"/>
      <c r="T92" s="622"/>
      <c r="U92" s="675"/>
      <c r="V92" s="676"/>
      <c r="W92" s="677" t="s">
        <v>244</v>
      </c>
      <c r="X92" s="677"/>
      <c r="Y92" s="677" t="s">
        <v>242</v>
      </c>
      <c r="Z92" s="678" t="e">
        <f>(C$29-C$32)/(82-67)</f>
        <v>#VALUE!</v>
      </c>
      <c r="AA92" s="679"/>
      <c r="AB92" s="622"/>
      <c r="AC92" s="622"/>
      <c r="AD92" s="622"/>
      <c r="AE92" s="622"/>
      <c r="AF92" s="622"/>
      <c r="AG92" s="170"/>
      <c r="BE92" s="168"/>
      <c r="BF92" s="168"/>
      <c r="BG92" s="168"/>
    </row>
    <row r="93" spans="2:59" ht="36" x14ac:dyDescent="0.35">
      <c r="B93" s="663" t="s">
        <v>404</v>
      </c>
      <c r="C93" s="680">
        <f>IF(C34="", 0.25,ROUND(MIN(0.25,((1-((C37/(I37))/(C34/(I34))))/(1-C37/(C34*'Optional D Test Recorded Data'!D13)))),2))</f>
        <v>0.25</v>
      </c>
      <c r="D93" s="650"/>
      <c r="E93" s="650"/>
      <c r="F93" s="650"/>
      <c r="G93" s="650"/>
      <c r="H93" s="650"/>
      <c r="I93" s="650"/>
      <c r="J93" s="650"/>
      <c r="K93" s="650"/>
      <c r="L93" s="650"/>
      <c r="M93" s="650"/>
      <c r="N93" s="650"/>
      <c r="O93" s="650"/>
      <c r="P93" s="650"/>
      <c r="Q93" s="650"/>
      <c r="R93" s="621"/>
      <c r="S93" s="659"/>
      <c r="T93" s="622"/>
      <c r="U93" s="675"/>
      <c r="V93" s="676"/>
      <c r="W93" s="676"/>
      <c r="X93" s="676"/>
      <c r="Y93" s="676"/>
      <c r="Z93" s="676"/>
      <c r="AA93" s="679"/>
      <c r="AB93" s="622"/>
      <c r="AC93" s="622"/>
      <c r="AD93" s="622"/>
      <c r="AE93" s="622"/>
      <c r="AF93" s="622"/>
      <c r="AG93" s="170"/>
      <c r="BE93" s="168"/>
      <c r="BF93" s="168"/>
      <c r="BG93" s="168"/>
    </row>
    <row r="94" spans="2:59" ht="36" x14ac:dyDescent="0.35">
      <c r="B94" s="663" t="s">
        <v>490</v>
      </c>
      <c r="C94" s="680">
        <f>IF(C35="", C93,ROUND(MIN(C93,((1-((C38/(I38))/(C35/(I35))))/(1-C38/(C35*'Optional D Test Recorded Data'!D13)))),2))</f>
        <v>0.25</v>
      </c>
      <c r="D94" s="650"/>
      <c r="E94" s="650"/>
      <c r="F94" s="650"/>
      <c r="G94" s="650"/>
      <c r="H94" s="650"/>
      <c r="I94" s="650"/>
      <c r="J94" s="650"/>
      <c r="K94" s="650"/>
      <c r="L94" s="650"/>
      <c r="M94" s="650"/>
      <c r="N94" s="650"/>
      <c r="O94" s="650"/>
      <c r="P94" s="650"/>
      <c r="Q94" s="650"/>
      <c r="R94" s="621"/>
      <c r="S94" s="659"/>
      <c r="T94" s="622"/>
      <c r="U94" s="675"/>
      <c r="V94" s="676"/>
      <c r="W94" s="676"/>
      <c r="X94" s="677" t="s">
        <v>263</v>
      </c>
      <c r="Y94" s="677" t="s">
        <v>265</v>
      </c>
      <c r="Z94" s="677" t="s">
        <v>264</v>
      </c>
      <c r="AA94" s="679"/>
      <c r="AB94" s="622"/>
      <c r="AC94" s="622"/>
      <c r="AD94" s="622"/>
      <c r="AE94" s="622"/>
      <c r="AF94" s="622"/>
      <c r="AG94" s="170"/>
      <c r="BE94" s="168"/>
      <c r="BF94" s="168"/>
      <c r="BG94" s="168"/>
    </row>
    <row r="95" spans="2:59" x14ac:dyDescent="0.35">
      <c r="B95" s="658"/>
      <c r="C95" s="681"/>
      <c r="D95" s="650"/>
      <c r="E95" s="650"/>
      <c r="F95" s="650"/>
      <c r="G95" s="650"/>
      <c r="H95" s="650"/>
      <c r="I95" s="650"/>
      <c r="J95" s="650"/>
      <c r="K95" s="650"/>
      <c r="L95" s="650"/>
      <c r="M95" s="650"/>
      <c r="N95" s="650"/>
      <c r="O95" s="650"/>
      <c r="P95" s="650"/>
      <c r="Q95" s="650"/>
      <c r="R95" s="621"/>
      <c r="S95" s="659"/>
      <c r="T95" s="622"/>
      <c r="U95" s="675"/>
      <c r="V95" s="677" t="s">
        <v>348</v>
      </c>
      <c r="W95" s="677" t="s">
        <v>259</v>
      </c>
      <c r="X95" s="678" t="e">
        <f>($C$39/$Z$90)+65</f>
        <v>#VALUE!</v>
      </c>
      <c r="Y95" s="678" t="e">
        <f>($C$32/$Z$90)+65</f>
        <v>#VALUE!</v>
      </c>
      <c r="Z95" s="678" t="e">
        <f>($C$39/$Z$90)+65</f>
        <v>#VALUE!</v>
      </c>
      <c r="AA95" s="679"/>
      <c r="AB95" s="622"/>
      <c r="AC95" s="622"/>
      <c r="AD95" s="622"/>
      <c r="AE95" s="622"/>
      <c r="AF95" s="622"/>
      <c r="AG95" s="170"/>
    </row>
    <row r="96" spans="2:59" x14ac:dyDescent="0.35">
      <c r="B96" s="667" t="s">
        <v>132</v>
      </c>
      <c r="C96" s="668" t="s">
        <v>399</v>
      </c>
      <c r="D96" s="668" t="s">
        <v>113</v>
      </c>
      <c r="E96" s="668" t="s">
        <v>401</v>
      </c>
      <c r="F96" s="668" t="s">
        <v>220</v>
      </c>
      <c r="G96" s="668" t="s">
        <v>219</v>
      </c>
      <c r="H96" s="668" t="s">
        <v>230</v>
      </c>
      <c r="I96" s="668" t="s">
        <v>231</v>
      </c>
      <c r="J96" s="668" t="s">
        <v>221</v>
      </c>
      <c r="K96" s="668" t="s">
        <v>222</v>
      </c>
      <c r="L96" s="668" t="s">
        <v>232</v>
      </c>
      <c r="M96" s="668" t="s">
        <v>224</v>
      </c>
      <c r="N96" s="668" t="s">
        <v>225</v>
      </c>
      <c r="O96" s="650"/>
      <c r="P96" s="650"/>
      <c r="Q96" s="650"/>
      <c r="R96" s="621"/>
      <c r="S96" s="659"/>
      <c r="T96" s="622"/>
      <c r="U96" s="675"/>
      <c r="V96" s="677" t="s">
        <v>349</v>
      </c>
      <c r="W96" s="677" t="s">
        <v>260</v>
      </c>
      <c r="X96" s="678" t="e">
        <f>67*($Z$91/$Z$90)</f>
        <v>#VALUE!</v>
      </c>
      <c r="Y96" s="678" t="e">
        <f>82*($Z$92/$Z$90)</f>
        <v>#VALUE!</v>
      </c>
      <c r="Z96" s="678" t="e">
        <f>67*($Z$91/$Z$90)</f>
        <v>#VALUE!</v>
      </c>
      <c r="AA96" s="679"/>
      <c r="AB96" s="622"/>
      <c r="AC96" s="622"/>
      <c r="AD96" s="622"/>
      <c r="AE96" s="622"/>
      <c r="AF96" s="622"/>
      <c r="AG96" s="170"/>
    </row>
    <row r="97" spans="2:33" x14ac:dyDescent="0.35">
      <c r="B97" s="669">
        <f>Tables!A26</f>
        <v>1</v>
      </c>
      <c r="C97" s="647">
        <f>Tables!C26</f>
        <v>67</v>
      </c>
      <c r="D97" s="647">
        <f>Tables!D26</f>
        <v>0.214</v>
      </c>
      <c r="E97" s="670" t="e">
        <f t="shared" ref="E97:E104" si="11">IF(D97="","",((C97-65)/(95-65))*($C$29/1.1))</f>
        <v>#VALUE!</v>
      </c>
      <c r="F97" s="670" t="e">
        <f t="shared" ref="F97:F103" si="12">$C$39+((($C$31-$C$39)/(82-67))*(C97-67))</f>
        <v>#VALUE!</v>
      </c>
      <c r="G97" s="670" t="e">
        <f t="shared" ref="G97:G104" si="13">$C$32+((($C$29-$C$32)/(95-82))*(C97-82))</f>
        <v>#VALUE!</v>
      </c>
      <c r="H97" s="670" t="e">
        <f>IF(E97&lt;=F97,E97/F97,IF(OR(AND(F97&lt;E97,E97&lt;G97,$F$209="No"),AND(F97&lt;E97,E97&lt;G97,$F$209="Yes",C97&lt;$H$209)),((G97-E97)/(G97-F97)),""))</f>
        <v>#VALUE!</v>
      </c>
      <c r="I97" s="670" t="e">
        <f>IF(AND(E97&lt;G97, $F$209="Yes", $H$209&gt;=C97),E97/G97,IF(OR(AND(F97&lt;E97,E97&lt;G97,$F$209= "No"),AND(F97&lt;E97,E97&lt;G97,$F$209="Yes",$H$209&lt;C97)),1-H97,""))</f>
        <v>#VALUE!</v>
      </c>
      <c r="J97" s="670">
        <f>$I$39+((($I$31-$I$39)/(82-67))*(C97-67))</f>
        <v>0</v>
      </c>
      <c r="K97" s="670">
        <f>$I$32+((($I$29-$I$32)/(95-82))*(C97-82))</f>
        <v>0</v>
      </c>
      <c r="L97" s="670" t="e">
        <f t="shared" ref="L97:L104" si="14">IF(F97&gt;=E97,1-$C$93*(1-H97),IF(AND(E97&lt;G97, $F$209="Yes",C97&gt;=$H$209),1-$C$94*(1-I97),""))</f>
        <v>#VALUE!</v>
      </c>
      <c r="M97" s="670" t="e">
        <f>IF(F97&gt;=E97,((H97*J97)/L97)*D97,IF(AND(E97&lt;G97, $F$209="Yes",C97&gt;=$H$209),((I97*K97)/L97)*D97,IF(OR(AND(F97&lt;E97,E97&lt;G97,$F$209="No"),AND(F97&lt;E97,E97&lt;G97,$F$209="Yes",$H$209&gt;C97)),(H97*J97+I97*K97)*D97,IF(E97&gt;G97,K97*D97,"ERROR"))))</f>
        <v>#VALUE!</v>
      </c>
      <c r="N97" s="670" t="e">
        <f>IF(F97&gt;=E97,((H97*F97))*D97,IF(AND(E97&lt;G97, $F$209="Yes", C97&gt;=$H$209),I97*G97*D97,IF(OR(AND(F97&lt;E97,E97&lt;G97,$F$209="No"),AND(F97&lt;E97,E97&lt;G97,$F$209="Yes",$H$209&gt;C97)),(H97*F97+I97*G97)*D97,IF(E97&gt;G97,G97*D97,"ERROR"))))</f>
        <v>#VALUE!</v>
      </c>
      <c r="O97" s="650"/>
      <c r="P97" s="650"/>
      <c r="Q97" s="650"/>
      <c r="R97" s="621"/>
      <c r="S97" s="659"/>
      <c r="T97" s="622"/>
      <c r="U97" s="675"/>
      <c r="V97" s="677" t="s">
        <v>350</v>
      </c>
      <c r="W97" s="677" t="s">
        <v>261</v>
      </c>
      <c r="X97" s="678" t="e">
        <f>(1-($Z$91/$Z$90))</f>
        <v>#VALUE!</v>
      </c>
      <c r="Y97" s="678" t="e">
        <f>(1-($Z$92/$Z$90))</f>
        <v>#VALUE!</v>
      </c>
      <c r="Z97" s="678" t="e">
        <f>(1-($Z$91/$Z$90))</f>
        <v>#VALUE!</v>
      </c>
      <c r="AA97" s="679"/>
      <c r="AB97" s="622"/>
      <c r="AC97" s="622"/>
      <c r="AD97" s="622"/>
      <c r="AE97" s="622"/>
      <c r="AF97" s="622"/>
      <c r="AG97" s="170"/>
    </row>
    <row r="98" spans="2:33" x14ac:dyDescent="0.35">
      <c r="B98" s="669">
        <f>Tables!A27</f>
        <v>2</v>
      </c>
      <c r="C98" s="647">
        <f>Tables!C27</f>
        <v>72</v>
      </c>
      <c r="D98" s="647">
        <f>Tables!D27</f>
        <v>0.23100000000000001</v>
      </c>
      <c r="E98" s="670" t="e">
        <f t="shared" si="11"/>
        <v>#VALUE!</v>
      </c>
      <c r="F98" s="670" t="e">
        <f t="shared" si="12"/>
        <v>#VALUE!</v>
      </c>
      <c r="G98" s="670" t="e">
        <f t="shared" si="13"/>
        <v>#VALUE!</v>
      </c>
      <c r="H98" s="670" t="e">
        <f t="shared" ref="H98:H104" si="15">IF(E98&lt;=F98,E98/F98,IF(OR(AND(F98&lt;E98,E98&lt;G98,$F$209="No"),AND(F98&lt;E98,E98&lt;G98,$F$209="Yes",C98&lt;$H$209)),((G98-E98)/(G98-F98)),""))</f>
        <v>#VALUE!</v>
      </c>
      <c r="I98" s="670" t="e">
        <f t="shared" ref="I98:I104" si="16">IF(AND(E98&lt;G98, $F$209="Yes", $H$209&gt;=C98),E98/G98,IF(OR(AND(F98&lt;E98,E98&lt;G98,$F$209= "No"),AND(F98&lt;E98,E98&lt;G98,$F$209="Yes",$H$209&lt;C98)),1-H98,""))</f>
        <v>#VALUE!</v>
      </c>
      <c r="J98" s="670">
        <f t="shared" ref="J98:J104" si="17">$I$39+((($I$31-$I$39)/(82-67))*(C98-67))</f>
        <v>0</v>
      </c>
      <c r="K98" s="670">
        <f t="shared" ref="K98:K103" si="18">$I$32+((($I$29-$I$32)/(95-82))*(C98-82))</f>
        <v>0</v>
      </c>
      <c r="L98" s="670" t="e">
        <f t="shared" si="14"/>
        <v>#VALUE!</v>
      </c>
      <c r="M98" s="670" t="e">
        <f t="shared" ref="M98:M104" si="19">IF(F98&gt;=E98,((H98*J98)/L98)*D98,IF(AND(E98&lt;G98, $F$209="Yes",C98&gt;=$H$209),((I98*K98)/L98)*D98,IF(OR(AND(F98&lt;E98,E98&lt;G98,$F$209="No"),AND(F98&lt;E98,E98&lt;G98,$F$209="Yes",$H$209&gt;C98)),(H98*J98+I98*K98)*D98,IF(E98&gt;G98,K98*D98,"ERROR"))))</f>
        <v>#VALUE!</v>
      </c>
      <c r="N98" s="670" t="e">
        <f t="shared" ref="N98:N104" si="20">IF(F98&gt;=E98,((H98*F98))*D98,IF(AND(E98&lt;G98, $F$209="Yes", C98&gt;=$H$209),I98*G98*D98,IF(OR(AND(F98&lt;E98,E98&lt;G98,$F$209="No"),AND(F98&lt;E98,E98&lt;G98,$F$209="Yes",$H$209&gt;C98)),(H98*F98+I98*G98)*D98,IF(E98&gt;G98,G98*D98,"ERROR"))))</f>
        <v>#VALUE!</v>
      </c>
      <c r="O98" s="650"/>
      <c r="P98" s="650"/>
      <c r="Q98" s="650"/>
      <c r="R98" s="621"/>
      <c r="S98" s="659"/>
      <c r="T98" s="622"/>
      <c r="U98" s="675"/>
      <c r="V98" s="676"/>
      <c r="W98" s="676"/>
      <c r="X98" s="676"/>
      <c r="Y98" s="676"/>
      <c r="Z98" s="676"/>
      <c r="AA98" s="679"/>
      <c r="AB98" s="622"/>
      <c r="AC98" s="622"/>
      <c r="AD98" s="622"/>
      <c r="AE98" s="622"/>
      <c r="AF98" s="622"/>
      <c r="AG98" s="170"/>
    </row>
    <row r="99" spans="2:33" x14ac:dyDescent="0.35">
      <c r="B99" s="669">
        <f>Tables!A28</f>
        <v>3</v>
      </c>
      <c r="C99" s="647">
        <f>Tables!C28</f>
        <v>77</v>
      </c>
      <c r="D99" s="647">
        <f>Tables!D28</f>
        <v>0.216</v>
      </c>
      <c r="E99" s="670" t="e">
        <f t="shared" si="11"/>
        <v>#VALUE!</v>
      </c>
      <c r="F99" s="670" t="e">
        <f t="shared" si="12"/>
        <v>#VALUE!</v>
      </c>
      <c r="G99" s="670" t="e">
        <f t="shared" si="13"/>
        <v>#VALUE!</v>
      </c>
      <c r="H99" s="670" t="e">
        <f t="shared" si="15"/>
        <v>#VALUE!</v>
      </c>
      <c r="I99" s="670" t="e">
        <f t="shared" si="16"/>
        <v>#VALUE!</v>
      </c>
      <c r="J99" s="670">
        <f t="shared" si="17"/>
        <v>0</v>
      </c>
      <c r="K99" s="670">
        <f t="shared" si="18"/>
        <v>0</v>
      </c>
      <c r="L99" s="670" t="e">
        <f t="shared" si="14"/>
        <v>#VALUE!</v>
      </c>
      <c r="M99" s="670" t="e">
        <f t="shared" si="19"/>
        <v>#VALUE!</v>
      </c>
      <c r="N99" s="670" t="e">
        <f t="shared" si="20"/>
        <v>#VALUE!</v>
      </c>
      <c r="O99" s="650"/>
      <c r="P99" s="650"/>
      <c r="Q99" s="621"/>
      <c r="R99" s="621"/>
      <c r="S99" s="659"/>
      <c r="T99" s="622"/>
      <c r="U99" s="675"/>
      <c r="V99" s="676"/>
      <c r="W99" s="676"/>
      <c r="X99" s="676"/>
      <c r="Y99" s="676"/>
      <c r="Z99" s="676"/>
      <c r="AA99" s="679"/>
      <c r="AB99" s="622"/>
      <c r="AC99" s="622"/>
      <c r="AD99" s="622"/>
      <c r="AE99" s="622"/>
      <c r="AF99" s="622"/>
      <c r="AG99" s="170"/>
    </row>
    <row r="100" spans="2:33" x14ac:dyDescent="0.35">
      <c r="B100" s="669">
        <f>Tables!A29</f>
        <v>4</v>
      </c>
      <c r="C100" s="647">
        <f>Tables!C29</f>
        <v>82</v>
      </c>
      <c r="D100" s="647">
        <f>Tables!D29</f>
        <v>0.161</v>
      </c>
      <c r="E100" s="670" t="e">
        <f t="shared" si="11"/>
        <v>#VALUE!</v>
      </c>
      <c r="F100" s="670" t="e">
        <f t="shared" si="12"/>
        <v>#VALUE!</v>
      </c>
      <c r="G100" s="670" t="e">
        <f t="shared" si="13"/>
        <v>#VALUE!</v>
      </c>
      <c r="H100" s="670" t="e">
        <f t="shared" si="15"/>
        <v>#VALUE!</v>
      </c>
      <c r="I100" s="670" t="e">
        <f t="shared" si="16"/>
        <v>#VALUE!</v>
      </c>
      <c r="J100" s="670">
        <f t="shared" si="17"/>
        <v>0</v>
      </c>
      <c r="K100" s="670">
        <f t="shared" si="18"/>
        <v>0</v>
      </c>
      <c r="L100" s="670" t="e">
        <f t="shared" si="14"/>
        <v>#VALUE!</v>
      </c>
      <c r="M100" s="670" t="e">
        <f t="shared" si="19"/>
        <v>#VALUE!</v>
      </c>
      <c r="N100" s="670" t="e">
        <f t="shared" si="20"/>
        <v>#VALUE!</v>
      </c>
      <c r="O100" s="650"/>
      <c r="P100" s="650"/>
      <c r="Q100" s="621"/>
      <c r="R100" s="621"/>
      <c r="S100" s="659"/>
      <c r="T100" s="622"/>
      <c r="U100" s="675"/>
      <c r="V100" s="676"/>
      <c r="W100" s="677"/>
      <c r="X100" s="677" t="s">
        <v>236</v>
      </c>
      <c r="Y100" s="677" t="s">
        <v>237</v>
      </c>
      <c r="Z100" s="677" t="s">
        <v>238</v>
      </c>
      <c r="AA100" s="679"/>
      <c r="AB100" s="622"/>
      <c r="AC100" s="622"/>
      <c r="AD100" s="622"/>
      <c r="AE100" s="622"/>
      <c r="AF100" s="622"/>
      <c r="AG100" s="170"/>
    </row>
    <row r="101" spans="2:33" x14ac:dyDescent="0.35">
      <c r="B101" s="669">
        <f>Tables!A30</f>
        <v>5</v>
      </c>
      <c r="C101" s="647">
        <f>Tables!C30</f>
        <v>87</v>
      </c>
      <c r="D101" s="647">
        <f>Tables!D30</f>
        <v>0.104</v>
      </c>
      <c r="E101" s="670" t="e">
        <f t="shared" si="11"/>
        <v>#VALUE!</v>
      </c>
      <c r="F101" s="670" t="e">
        <f t="shared" si="12"/>
        <v>#VALUE!</v>
      </c>
      <c r="G101" s="670" t="e">
        <f t="shared" si="13"/>
        <v>#VALUE!</v>
      </c>
      <c r="H101" s="670" t="e">
        <f t="shared" si="15"/>
        <v>#VALUE!</v>
      </c>
      <c r="I101" s="670" t="e">
        <f t="shared" si="16"/>
        <v>#VALUE!</v>
      </c>
      <c r="J101" s="670">
        <f t="shared" si="17"/>
        <v>0</v>
      </c>
      <c r="K101" s="670">
        <f t="shared" si="18"/>
        <v>0</v>
      </c>
      <c r="L101" s="670" t="e">
        <f t="shared" si="14"/>
        <v>#VALUE!</v>
      </c>
      <c r="M101" s="670" t="e">
        <f t="shared" si="19"/>
        <v>#VALUE!</v>
      </c>
      <c r="N101" s="670" t="e">
        <f t="shared" si="20"/>
        <v>#VALUE!</v>
      </c>
      <c r="O101" s="650"/>
      <c r="P101" s="650"/>
      <c r="Q101" s="621"/>
      <c r="R101" s="621"/>
      <c r="S101" s="659"/>
      <c r="T101" s="622"/>
      <c r="U101" s="675"/>
      <c r="V101" s="676"/>
      <c r="W101" s="677" t="s">
        <v>262</v>
      </c>
      <c r="X101" s="678" t="e">
        <f>(X95+X96)/X97</f>
        <v>#VALUE!</v>
      </c>
      <c r="Y101" s="678" t="e">
        <f>(Y95+Y96)/Y97</f>
        <v>#VALUE!</v>
      </c>
      <c r="Z101" s="678" t="e">
        <f>(Z95+Z96)/Z97</f>
        <v>#VALUE!</v>
      </c>
      <c r="AA101" s="679"/>
      <c r="AB101" s="622"/>
      <c r="AC101" s="622"/>
      <c r="AD101" s="622"/>
      <c r="AE101" s="622"/>
      <c r="AF101" s="622"/>
      <c r="AG101" s="170"/>
    </row>
    <row r="102" spans="2:33" x14ac:dyDescent="0.35">
      <c r="B102" s="669">
        <f>Tables!A31</f>
        <v>6</v>
      </c>
      <c r="C102" s="647">
        <f>Tables!C31</f>
        <v>92</v>
      </c>
      <c r="D102" s="647">
        <f>Tables!D31</f>
        <v>5.1999999999999998E-2</v>
      </c>
      <c r="E102" s="670" t="e">
        <f t="shared" si="11"/>
        <v>#VALUE!</v>
      </c>
      <c r="F102" s="670" t="e">
        <f t="shared" si="12"/>
        <v>#VALUE!</v>
      </c>
      <c r="G102" s="670" t="e">
        <f t="shared" si="13"/>
        <v>#VALUE!</v>
      </c>
      <c r="H102" s="670" t="e">
        <f t="shared" si="15"/>
        <v>#VALUE!</v>
      </c>
      <c r="I102" s="670" t="e">
        <f t="shared" si="16"/>
        <v>#VALUE!</v>
      </c>
      <c r="J102" s="670">
        <f t="shared" si="17"/>
        <v>0</v>
      </c>
      <c r="K102" s="670">
        <f t="shared" si="18"/>
        <v>0</v>
      </c>
      <c r="L102" s="670" t="e">
        <f t="shared" si="14"/>
        <v>#VALUE!</v>
      </c>
      <c r="M102" s="670" t="e">
        <f t="shared" si="19"/>
        <v>#VALUE!</v>
      </c>
      <c r="N102" s="670" t="e">
        <f t="shared" si="20"/>
        <v>#VALUE!</v>
      </c>
      <c r="O102" s="650"/>
      <c r="P102" s="650"/>
      <c r="Q102" s="621"/>
      <c r="R102" s="621"/>
      <c r="S102" s="659"/>
      <c r="T102" s="622"/>
      <c r="U102" s="675"/>
      <c r="V102" s="676"/>
      <c r="W102" s="676"/>
      <c r="X102" s="676"/>
      <c r="Y102" s="676"/>
      <c r="Z102" s="676"/>
      <c r="AA102" s="679"/>
      <c r="AB102" s="622"/>
      <c r="AC102" s="622"/>
      <c r="AD102" s="622"/>
      <c r="AE102" s="622"/>
      <c r="AF102" s="622"/>
      <c r="AG102" s="170"/>
    </row>
    <row r="103" spans="2:33" x14ac:dyDescent="0.35">
      <c r="B103" s="669">
        <f>Tables!A32</f>
        <v>7</v>
      </c>
      <c r="C103" s="647">
        <f>Tables!C32</f>
        <v>97</v>
      </c>
      <c r="D103" s="647">
        <f>Tables!D32</f>
        <v>1.7999999999999999E-2</v>
      </c>
      <c r="E103" s="670" t="e">
        <f t="shared" si="11"/>
        <v>#VALUE!</v>
      </c>
      <c r="F103" s="670" t="e">
        <f t="shared" si="12"/>
        <v>#VALUE!</v>
      </c>
      <c r="G103" s="670" t="e">
        <f t="shared" si="13"/>
        <v>#VALUE!</v>
      </c>
      <c r="H103" s="670" t="e">
        <f t="shared" si="15"/>
        <v>#VALUE!</v>
      </c>
      <c r="I103" s="670" t="e">
        <f t="shared" si="16"/>
        <v>#VALUE!</v>
      </c>
      <c r="J103" s="670">
        <f t="shared" si="17"/>
        <v>0</v>
      </c>
      <c r="K103" s="670">
        <f t="shared" si="18"/>
        <v>0</v>
      </c>
      <c r="L103" s="670" t="e">
        <f t="shared" si="14"/>
        <v>#VALUE!</v>
      </c>
      <c r="M103" s="670" t="e">
        <f t="shared" si="19"/>
        <v>#VALUE!</v>
      </c>
      <c r="N103" s="670" t="e">
        <f t="shared" si="20"/>
        <v>#VALUE!</v>
      </c>
      <c r="O103" s="650"/>
      <c r="P103" s="650"/>
      <c r="Q103" s="621"/>
      <c r="R103" s="621"/>
      <c r="S103" s="659"/>
      <c r="T103" s="622"/>
      <c r="U103" s="675"/>
      <c r="V103" s="676"/>
      <c r="W103" s="676"/>
      <c r="X103" s="676"/>
      <c r="Y103" s="676"/>
      <c r="Z103" s="676"/>
      <c r="AA103" s="679"/>
      <c r="AB103" s="622"/>
      <c r="AC103" s="622"/>
      <c r="AD103" s="622"/>
      <c r="AE103" s="622"/>
      <c r="AF103" s="622"/>
      <c r="AG103" s="170"/>
    </row>
    <row r="104" spans="2:33" x14ac:dyDescent="0.35">
      <c r="B104" s="669">
        <f>Tables!A33</f>
        <v>8</v>
      </c>
      <c r="C104" s="647">
        <f>Tables!C33</f>
        <v>102</v>
      </c>
      <c r="D104" s="647">
        <f>Tables!D33</f>
        <v>4.0000000000000001E-3</v>
      </c>
      <c r="E104" s="670" t="e">
        <f t="shared" si="11"/>
        <v>#VALUE!</v>
      </c>
      <c r="F104" s="670" t="e">
        <f>$C$39+((($C$31-$C$39)/(82-67))*(C104-67))</f>
        <v>#VALUE!</v>
      </c>
      <c r="G104" s="670" t="e">
        <f t="shared" si="13"/>
        <v>#VALUE!</v>
      </c>
      <c r="H104" s="670" t="e">
        <f t="shared" si="15"/>
        <v>#VALUE!</v>
      </c>
      <c r="I104" s="670" t="e">
        <f t="shared" si="16"/>
        <v>#VALUE!</v>
      </c>
      <c r="J104" s="670">
        <f t="shared" si="17"/>
        <v>0</v>
      </c>
      <c r="K104" s="670">
        <f>$I$32+((($I$29-$I$32)/(95-82))*(C104-82))</f>
        <v>0</v>
      </c>
      <c r="L104" s="670" t="e">
        <f t="shared" si="14"/>
        <v>#VALUE!</v>
      </c>
      <c r="M104" s="670" t="e">
        <f t="shared" si="19"/>
        <v>#VALUE!</v>
      </c>
      <c r="N104" s="670" t="e">
        <f t="shared" si="20"/>
        <v>#VALUE!</v>
      </c>
      <c r="O104" s="650"/>
      <c r="P104" s="650"/>
      <c r="Q104" s="621"/>
      <c r="R104" s="621"/>
      <c r="S104" s="659"/>
      <c r="T104" s="622"/>
      <c r="U104" s="675"/>
      <c r="V104" s="676" t="s">
        <v>257</v>
      </c>
      <c r="W104" s="676"/>
      <c r="X104" s="676"/>
      <c r="Y104" s="676"/>
      <c r="Z104" s="676"/>
      <c r="AA104" s="679"/>
      <c r="AB104" s="622"/>
      <c r="AC104" s="622"/>
      <c r="AD104" s="622"/>
      <c r="AE104" s="622"/>
      <c r="AF104" s="622"/>
      <c r="AG104" s="170"/>
    </row>
    <row r="105" spans="2:33" x14ac:dyDescent="0.35">
      <c r="B105" s="658"/>
      <c r="C105" s="650"/>
      <c r="D105" s="621"/>
      <c r="E105" s="621"/>
      <c r="F105" s="621"/>
      <c r="G105" s="621"/>
      <c r="H105" s="621"/>
      <c r="I105" s="621"/>
      <c r="J105" s="621"/>
      <c r="K105" s="621"/>
      <c r="L105" s="621"/>
      <c r="M105" s="621"/>
      <c r="N105" s="621"/>
      <c r="O105" s="621"/>
      <c r="P105" s="621"/>
      <c r="Q105" s="621"/>
      <c r="R105" s="621"/>
      <c r="S105" s="659"/>
      <c r="T105" s="622"/>
      <c r="U105" s="675"/>
      <c r="V105" s="677" t="s">
        <v>255</v>
      </c>
      <c r="W105" s="678" t="e">
        <f>($Y$101^2-$X$101^2)/($Z$101^2-$X$101^2)</f>
        <v>#VALUE!</v>
      </c>
      <c r="X105" s="677" t="s">
        <v>250</v>
      </c>
      <c r="Y105" s="678" t="e">
        <f>((($C$31-$C$39)/(82-67))*(1-$Y$107))+($Y$107*(($C$29-$C$32)/(95-82)))</f>
        <v>#VALUE!</v>
      </c>
      <c r="Z105" s="676"/>
      <c r="AA105" s="679"/>
      <c r="AB105" s="622"/>
      <c r="AC105" s="622"/>
      <c r="AD105" s="622"/>
      <c r="AE105" s="622"/>
      <c r="AF105" s="622"/>
      <c r="AG105" s="170"/>
    </row>
    <row r="106" spans="2:33" x14ac:dyDescent="0.35">
      <c r="B106" s="663" t="s">
        <v>227</v>
      </c>
      <c r="C106" s="670" t="e">
        <f>SUM(N97:N104)</f>
        <v>#VALUE!</v>
      </c>
      <c r="D106" s="621"/>
      <c r="E106" s="621"/>
      <c r="F106" s="621"/>
      <c r="G106" s="621"/>
      <c r="H106" s="621"/>
      <c r="I106" s="621"/>
      <c r="J106" s="621"/>
      <c r="K106" s="621"/>
      <c r="L106" s="621"/>
      <c r="M106" s="621"/>
      <c r="N106" s="621"/>
      <c r="O106" s="621"/>
      <c r="P106" s="621"/>
      <c r="Q106" s="621"/>
      <c r="R106" s="621"/>
      <c r="S106" s="659"/>
      <c r="T106" s="622"/>
      <c r="U106" s="675"/>
      <c r="V106" s="677" t="s">
        <v>197</v>
      </c>
      <c r="W106" s="678" t="e">
        <f>($X$110-$X$112-($W$105*($X$110-$X$111)))/($X$101-$Y$101-($W$105*($X$101-$Z$101)))</f>
        <v>#VALUE!</v>
      </c>
      <c r="X106" s="677" t="s">
        <v>249</v>
      </c>
      <c r="Y106" s="678" t="e">
        <f>((($I$31-$I$39)/(82-67))*(1-$Y$108))+($Y$108*(($I$29-$I$32)/(95-82)))</f>
        <v>#DIV/0!</v>
      </c>
      <c r="Z106" s="676"/>
      <c r="AA106" s="679"/>
      <c r="AB106" s="622"/>
      <c r="AC106" s="622"/>
      <c r="AD106" s="622"/>
      <c r="AE106" s="622"/>
      <c r="AF106" s="622"/>
      <c r="AG106" s="170"/>
    </row>
    <row r="107" spans="2:33" x14ac:dyDescent="0.35">
      <c r="B107" s="663" t="s">
        <v>228</v>
      </c>
      <c r="C107" s="670" t="e">
        <f>SUM(M97:M104)</f>
        <v>#VALUE!</v>
      </c>
      <c r="D107" s="621"/>
      <c r="E107" s="621"/>
      <c r="F107" s="621"/>
      <c r="G107" s="621"/>
      <c r="H107" s="621"/>
      <c r="I107" s="621"/>
      <c r="J107" s="621"/>
      <c r="K107" s="621"/>
      <c r="L107" s="621"/>
      <c r="M107" s="621"/>
      <c r="N107" s="621"/>
      <c r="O107" s="621"/>
      <c r="P107" s="621"/>
      <c r="Q107" s="621"/>
      <c r="R107" s="621"/>
      <c r="S107" s="659"/>
      <c r="T107" s="622"/>
      <c r="U107" s="675"/>
      <c r="V107" s="677" t="s">
        <v>256</v>
      </c>
      <c r="W107" s="678" t="e">
        <f>($X$110-$X$112-($W$106*($X$101-$Y$101)))/($X$101^2-$Y$101^2)</f>
        <v>#VALUE!</v>
      </c>
      <c r="X107" s="677" t="s">
        <v>252</v>
      </c>
      <c r="Y107" s="678" t="e">
        <f>($C$40-$F$121)/($G$121-$F$121)</f>
        <v>#VALUE!</v>
      </c>
      <c r="Z107" s="676"/>
      <c r="AA107" s="679"/>
      <c r="AB107" s="622"/>
      <c r="AC107" s="622"/>
      <c r="AD107" s="622"/>
      <c r="AE107" s="622"/>
      <c r="AF107" s="622"/>
      <c r="AG107" s="170"/>
    </row>
    <row r="108" spans="2:33" ht="41.25" customHeight="1" thickBot="1" x14ac:dyDescent="0.4">
      <c r="B108" s="658"/>
      <c r="C108" s="741" t="s">
        <v>625</v>
      </c>
      <c r="D108" s="918" t="s">
        <v>626</v>
      </c>
      <c r="E108" s="918"/>
      <c r="F108" s="621"/>
      <c r="G108" s="621"/>
      <c r="H108" s="621"/>
      <c r="I108" s="621"/>
      <c r="J108" s="621"/>
      <c r="K108" s="621"/>
      <c r="L108" s="621"/>
      <c r="M108" s="621"/>
      <c r="N108" s="621"/>
      <c r="O108" s="621"/>
      <c r="P108" s="621"/>
      <c r="Q108" s="621"/>
      <c r="R108" s="621"/>
      <c r="S108" s="659"/>
      <c r="T108" s="622"/>
      <c r="U108" s="675"/>
      <c r="V108" s="677" t="s">
        <v>54</v>
      </c>
      <c r="W108" s="678" t="e">
        <f>$X$112-$W$106*$Y$101-$W$107*$Y$101^2</f>
        <v>#VALUE!</v>
      </c>
      <c r="X108" s="677" t="s">
        <v>253</v>
      </c>
      <c r="Y108" s="678" t="e">
        <f>($I$40-$J$121)/($L$121-$J$121)</f>
        <v>#DIV/0!</v>
      </c>
      <c r="Z108" s="676"/>
      <c r="AA108" s="679"/>
      <c r="AB108" s="622"/>
      <c r="AC108" s="622"/>
      <c r="AD108" s="622"/>
      <c r="AE108" s="622"/>
      <c r="AF108" s="622"/>
      <c r="AG108" s="170"/>
    </row>
    <row r="109" spans="2:33" ht="18.75" thickBot="1" x14ac:dyDescent="0.4">
      <c r="B109" s="665" t="s">
        <v>204</v>
      </c>
      <c r="C109" s="666" t="e">
        <f>C106/C107</f>
        <v>#VALUE!</v>
      </c>
      <c r="D109" s="1040"/>
      <c r="E109" s="1040"/>
      <c r="F109" s="621"/>
      <c r="G109" s="650"/>
      <c r="H109" s="650"/>
      <c r="I109" s="621"/>
      <c r="J109" s="621"/>
      <c r="K109" s="621"/>
      <c r="L109" s="621"/>
      <c r="M109" s="621"/>
      <c r="N109" s="621"/>
      <c r="O109" s="621"/>
      <c r="P109" s="621"/>
      <c r="Q109" s="621"/>
      <c r="R109" s="621"/>
      <c r="S109" s="659"/>
      <c r="T109" s="622"/>
      <c r="U109" s="675"/>
      <c r="V109" s="676"/>
      <c r="W109" s="676"/>
      <c r="X109" s="676"/>
      <c r="Y109" s="676"/>
      <c r="Z109" s="676"/>
      <c r="AA109" s="679"/>
      <c r="AB109" s="622"/>
      <c r="AC109" s="622"/>
      <c r="AD109" s="622"/>
      <c r="AE109" s="622"/>
      <c r="AF109" s="622"/>
      <c r="AG109" s="170"/>
    </row>
    <row r="110" spans="2:33" x14ac:dyDescent="0.35">
      <c r="B110" s="658"/>
      <c r="C110" s="650"/>
      <c r="D110" s="650"/>
      <c r="E110" s="650"/>
      <c r="F110" s="650"/>
      <c r="G110" s="650"/>
      <c r="H110" s="650"/>
      <c r="I110" s="650"/>
      <c r="J110" s="650"/>
      <c r="K110" s="650"/>
      <c r="L110" s="650"/>
      <c r="M110" s="650"/>
      <c r="N110" s="650"/>
      <c r="O110" s="650"/>
      <c r="P110" s="650"/>
      <c r="Q110" s="650"/>
      <c r="R110" s="621"/>
      <c r="S110" s="659"/>
      <c r="T110" s="622"/>
      <c r="U110" s="675"/>
      <c r="V110" s="676"/>
      <c r="W110" s="677" t="s">
        <v>245</v>
      </c>
      <c r="X110" s="678" t="e">
        <f>($C$39+((($C$31-$C$39)/(82-67))*($X$101-67)))/($I$39+((($I$31-$I$39)/(82-67))*($X$101-67)))</f>
        <v>#VALUE!</v>
      </c>
      <c r="Y110" s="676"/>
      <c r="Z110" s="676"/>
      <c r="AA110" s="679"/>
      <c r="AB110" s="622"/>
      <c r="AC110" s="622"/>
      <c r="AD110" s="622"/>
      <c r="AE110" s="622"/>
      <c r="AF110" s="622"/>
      <c r="AG110" s="170"/>
    </row>
    <row r="111" spans="2:33" x14ac:dyDescent="0.35">
      <c r="B111" s="658"/>
      <c r="C111" s="650"/>
      <c r="D111" s="650"/>
      <c r="E111" s="650"/>
      <c r="F111" s="650"/>
      <c r="G111" s="650"/>
      <c r="H111" s="650"/>
      <c r="I111" s="650"/>
      <c r="J111" s="650"/>
      <c r="K111" s="650"/>
      <c r="L111" s="650"/>
      <c r="M111" s="650"/>
      <c r="N111" s="650"/>
      <c r="O111" s="650"/>
      <c r="P111" s="650"/>
      <c r="Q111" s="650"/>
      <c r="R111" s="621"/>
      <c r="S111" s="659"/>
      <c r="T111" s="622"/>
      <c r="U111" s="675"/>
      <c r="V111" s="676"/>
      <c r="W111" s="677" t="s">
        <v>246</v>
      </c>
      <c r="X111" s="678" t="e">
        <f>($C$40+$Y$105*($Z$101-87))/($I$40+$Y$106*($Z$101-87))</f>
        <v>#VALUE!</v>
      </c>
      <c r="Y111" s="676"/>
      <c r="Z111" s="676"/>
      <c r="AA111" s="679"/>
      <c r="AB111" s="622"/>
      <c r="AC111" s="622"/>
      <c r="AD111" s="622"/>
      <c r="AE111" s="622"/>
      <c r="AF111" s="622"/>
      <c r="AG111" s="170"/>
    </row>
    <row r="112" spans="2:33" x14ac:dyDescent="0.35">
      <c r="B112" s="660" t="s">
        <v>235</v>
      </c>
      <c r="C112" s="661"/>
      <c r="D112" s="661"/>
      <c r="E112" s="661"/>
      <c r="F112" s="661"/>
      <c r="G112" s="661"/>
      <c r="H112" s="661"/>
      <c r="I112" s="661"/>
      <c r="J112" s="661"/>
      <c r="K112" s="661"/>
      <c r="L112" s="661"/>
      <c r="M112" s="661"/>
      <c r="N112" s="661"/>
      <c r="O112" s="661"/>
      <c r="P112" s="661"/>
      <c r="Q112" s="661"/>
      <c r="R112" s="662"/>
      <c r="S112" s="659"/>
      <c r="T112" s="622"/>
      <c r="U112" s="675"/>
      <c r="V112" s="676"/>
      <c r="W112" s="677" t="s">
        <v>247</v>
      </c>
      <c r="X112" s="678" t="e">
        <f>($C$32+((($C$29-$C$32)/(95-82))*($Y$101-82)))/($I$32+((($I$29-$I$32)/(95-82))*($Y$101-82)))</f>
        <v>#VALUE!</v>
      </c>
      <c r="Y112" s="676"/>
      <c r="Z112" s="676"/>
      <c r="AA112" s="679"/>
      <c r="AB112" s="622"/>
      <c r="AC112" s="622"/>
      <c r="AD112" s="622"/>
      <c r="AE112" s="622"/>
      <c r="AF112" s="622"/>
      <c r="AG112" s="170"/>
    </row>
    <row r="113" spans="2:33" ht="18.75" thickBot="1" x14ac:dyDescent="0.4">
      <c r="B113" s="658"/>
      <c r="C113" s="650"/>
      <c r="D113" s="650"/>
      <c r="E113" s="650"/>
      <c r="F113" s="650"/>
      <c r="G113" s="650"/>
      <c r="H113" s="650"/>
      <c r="I113" s="650"/>
      <c r="J113" s="650"/>
      <c r="K113" s="650"/>
      <c r="L113" s="650"/>
      <c r="M113" s="650"/>
      <c r="N113" s="650"/>
      <c r="O113" s="650"/>
      <c r="P113" s="650"/>
      <c r="Q113" s="650"/>
      <c r="R113" s="621"/>
      <c r="S113" s="659"/>
      <c r="T113" s="622"/>
      <c r="U113" s="682"/>
      <c r="V113" s="683"/>
      <c r="W113" s="683"/>
      <c r="X113" s="683"/>
      <c r="Y113" s="683"/>
      <c r="Z113" s="683"/>
      <c r="AA113" s="684"/>
      <c r="AB113" s="622"/>
      <c r="AC113" s="622"/>
      <c r="AD113" s="622"/>
      <c r="AE113" s="622"/>
      <c r="AF113" s="622"/>
      <c r="AG113" s="170"/>
    </row>
    <row r="114" spans="2:33" ht="36" x14ac:dyDescent="0.35">
      <c r="B114" s="685" t="s">
        <v>404</v>
      </c>
      <c r="C114" s="680">
        <f>IF(C41="", 0.25,ROUND(MIN(0.25,((1-((C42/(I42))/(C41/(I41))))/(1-C42/(C41*'Optional I Test Recorded Data'!D13)))),2))</f>
        <v>0.25</v>
      </c>
      <c r="D114" s="650"/>
      <c r="E114" s="650"/>
      <c r="F114" s="650"/>
      <c r="G114" s="650"/>
      <c r="H114" s="650"/>
      <c r="I114" s="650"/>
      <c r="J114" s="650"/>
      <c r="K114" s="650"/>
      <c r="L114" s="650"/>
      <c r="M114" s="650"/>
      <c r="N114" s="650"/>
      <c r="O114" s="650"/>
      <c r="P114" s="650"/>
      <c r="Q114" s="650"/>
      <c r="R114" s="621"/>
      <c r="S114" s="659"/>
      <c r="T114" s="622"/>
      <c r="U114" s="620"/>
      <c r="V114" s="620"/>
      <c r="W114" s="620"/>
      <c r="X114" s="620"/>
      <c r="Y114" s="620"/>
      <c r="Z114" s="620"/>
      <c r="AA114" s="620"/>
      <c r="AB114" s="622"/>
      <c r="AC114" s="622"/>
      <c r="AD114" s="622"/>
      <c r="AE114" s="622"/>
      <c r="AF114" s="622"/>
      <c r="AG114" s="170"/>
    </row>
    <row r="115" spans="2:33" x14ac:dyDescent="0.35">
      <c r="B115" s="658"/>
      <c r="C115" s="681"/>
      <c r="D115" s="650"/>
      <c r="E115" s="650"/>
      <c r="F115" s="650"/>
      <c r="G115" s="650"/>
      <c r="H115" s="650"/>
      <c r="I115" s="650"/>
      <c r="J115" s="650"/>
      <c r="K115" s="650"/>
      <c r="L115" s="650"/>
      <c r="M115" s="650"/>
      <c r="N115" s="650"/>
      <c r="O115" s="650"/>
      <c r="P115" s="650"/>
      <c r="Q115" s="650"/>
      <c r="R115" s="621"/>
      <c r="S115" s="659"/>
      <c r="T115" s="622"/>
      <c r="U115" s="620"/>
      <c r="V115" s="620"/>
      <c r="W115" s="620"/>
      <c r="X115" s="620"/>
      <c r="Y115" s="620"/>
      <c r="Z115" s="620"/>
      <c r="AA115" s="620"/>
      <c r="AB115" s="622"/>
      <c r="AC115" s="622"/>
      <c r="AD115" s="622"/>
      <c r="AE115" s="622"/>
      <c r="AF115" s="622"/>
      <c r="AG115" s="170"/>
    </row>
    <row r="116" spans="2:33" x14ac:dyDescent="0.35">
      <c r="B116" s="667" t="s">
        <v>132</v>
      </c>
      <c r="C116" s="668" t="s">
        <v>399</v>
      </c>
      <c r="D116" s="668" t="s">
        <v>113</v>
      </c>
      <c r="E116" s="668" t="s">
        <v>401</v>
      </c>
      <c r="F116" s="668" t="s">
        <v>220</v>
      </c>
      <c r="G116" s="668" t="s">
        <v>219</v>
      </c>
      <c r="H116" s="668" t="s">
        <v>248</v>
      </c>
      <c r="I116" s="668" t="s">
        <v>230</v>
      </c>
      <c r="J116" s="668" t="s">
        <v>221</v>
      </c>
      <c r="K116" s="668" t="s">
        <v>258</v>
      </c>
      <c r="L116" s="668" t="s">
        <v>222</v>
      </c>
      <c r="M116" s="668" t="s">
        <v>251</v>
      </c>
      <c r="N116" s="668" t="s">
        <v>232</v>
      </c>
      <c r="O116" s="668" t="s">
        <v>224</v>
      </c>
      <c r="P116" s="668" t="s">
        <v>225</v>
      </c>
      <c r="Q116" s="668" t="s">
        <v>254</v>
      </c>
      <c r="R116" s="622"/>
      <c r="S116" s="659"/>
      <c r="T116" s="622"/>
      <c r="U116" s="620"/>
      <c r="V116" s="620"/>
      <c r="W116" s="620"/>
      <c r="X116" s="620"/>
      <c r="Y116" s="620"/>
      <c r="Z116" s="620"/>
      <c r="AA116" s="620"/>
      <c r="AB116" s="622"/>
      <c r="AC116" s="622"/>
      <c r="AD116" s="622"/>
      <c r="AE116" s="622"/>
      <c r="AF116" s="622"/>
      <c r="AG116" s="170"/>
    </row>
    <row r="117" spans="2:33" x14ac:dyDescent="0.35">
      <c r="B117" s="669">
        <f>Tables!A26</f>
        <v>1</v>
      </c>
      <c r="C117" s="647">
        <f>Tables!C26</f>
        <v>67</v>
      </c>
      <c r="D117" s="647">
        <f>Tables!D26</f>
        <v>0.214</v>
      </c>
      <c r="E117" s="670" t="e">
        <f>IF(D117="","",((C117-65)/(95-65))*($C$29/1.1))</f>
        <v>#VALUE!</v>
      </c>
      <c r="F117" s="647" t="e">
        <f>$C$39+((($C$31-$C$39)/(82-67))*(C117-67))</f>
        <v>#VALUE!</v>
      </c>
      <c r="G117" s="647" t="e">
        <f>$C$32+((($C$29-$C$32)/(95-82))*(C117-82))</f>
        <v>#VALUE!</v>
      </c>
      <c r="H117" s="647" t="e">
        <f>E117</f>
        <v>#VALUE!</v>
      </c>
      <c r="I117" s="647" t="e">
        <f>E117/F117</f>
        <v>#VALUE!</v>
      </c>
      <c r="J117" s="647">
        <f t="shared" ref="J117:J124" si="21">$I$39+((($I$31-$I$39)/(82-67))*(C117-67))</f>
        <v>0</v>
      </c>
      <c r="K117" s="647" t="e">
        <f t="shared" ref="K117:K124" si="22">H117/Q117</f>
        <v>#VALUE!</v>
      </c>
      <c r="L117" s="647">
        <f t="shared" ref="L117:L124" si="23">$I$32+((($I$29-$I$32)/(95-82))*(C117-82))</f>
        <v>0</v>
      </c>
      <c r="M117" s="647" t="e">
        <f t="shared" ref="M117:M124" si="24">$I$40+($Y$106*(C117-87))</f>
        <v>#DIV/0!</v>
      </c>
      <c r="N117" s="647" t="e">
        <f t="shared" ref="N117:N124" si="25">1-$C$114*(1-I117)</f>
        <v>#VALUE!</v>
      </c>
      <c r="O117" s="647" t="e">
        <f>IF(F117&gt;=E117,((I117*J117)/N117)*D117,IF(G117&lt;=E117,L117*D117,K117*D117))</f>
        <v>#VALUE!</v>
      </c>
      <c r="P117" s="647" t="e">
        <f>IF(F117&gt;=E117,I117*F117*D117,IF(G117&lt;=E117,G117*D117,H117*D117))</f>
        <v>#VALUE!</v>
      </c>
      <c r="Q117" s="647" t="e">
        <f t="shared" ref="Q117:Q124" si="26">$W$108+$W$106*C117+$W$107*C117^2</f>
        <v>#VALUE!</v>
      </c>
      <c r="R117" s="622"/>
      <c r="S117" s="659"/>
      <c r="T117" s="622"/>
      <c r="U117" s="620"/>
      <c r="V117" s="620"/>
      <c r="W117" s="620"/>
      <c r="X117" s="620"/>
      <c r="Y117" s="620"/>
      <c r="Z117" s="620"/>
      <c r="AA117" s="620"/>
      <c r="AB117" s="622"/>
      <c r="AC117" s="622"/>
      <c r="AD117" s="622"/>
      <c r="AE117" s="622"/>
      <c r="AF117" s="622"/>
      <c r="AG117" s="170"/>
    </row>
    <row r="118" spans="2:33" x14ac:dyDescent="0.35">
      <c r="B118" s="669">
        <f>Tables!A27</f>
        <v>2</v>
      </c>
      <c r="C118" s="647">
        <f>Tables!C27</f>
        <v>72</v>
      </c>
      <c r="D118" s="647">
        <f>Tables!D27</f>
        <v>0.23100000000000001</v>
      </c>
      <c r="E118" s="670" t="e">
        <f t="shared" ref="E118:E124" si="27">IF(D118="","",((C118-65)/(95-65))*($C$29/1.1))</f>
        <v>#VALUE!</v>
      </c>
      <c r="F118" s="647" t="e">
        <f t="shared" ref="F118:F123" si="28">$C$39+((($C$31-$C$39)/(82-67))*(C118-67))</f>
        <v>#VALUE!</v>
      </c>
      <c r="G118" s="647" t="e">
        <f t="shared" ref="G118:G124" si="29">$C$32+((($C$29-$C$32)/(95-82))*(C118-82))</f>
        <v>#VALUE!</v>
      </c>
      <c r="H118" s="647" t="e">
        <f t="shared" ref="H118:H124" si="30">E118</f>
        <v>#VALUE!</v>
      </c>
      <c r="I118" s="647" t="e">
        <f t="shared" ref="I118:I124" si="31">E118/F118</f>
        <v>#VALUE!</v>
      </c>
      <c r="J118" s="647">
        <f t="shared" si="21"/>
        <v>0</v>
      </c>
      <c r="K118" s="647" t="e">
        <f t="shared" si="22"/>
        <v>#VALUE!</v>
      </c>
      <c r="L118" s="647">
        <f t="shared" si="23"/>
        <v>0</v>
      </c>
      <c r="M118" s="647" t="e">
        <f t="shared" si="24"/>
        <v>#DIV/0!</v>
      </c>
      <c r="N118" s="647" t="e">
        <f t="shared" si="25"/>
        <v>#VALUE!</v>
      </c>
      <c r="O118" s="647" t="e">
        <f t="shared" ref="O118:O124" si="32">IF(F118&gt;=E118,((I118*J118)/N118)*D118,IF(G118&lt;=E118,L118*D118,K118*D118))</f>
        <v>#VALUE!</v>
      </c>
      <c r="P118" s="647" t="e">
        <f t="shared" ref="P118:P124" si="33">IF(F118&gt;=E118,I118*F118*D118,IF(G118&lt;=E118,G118*D118,H118*D118))</f>
        <v>#VALUE!</v>
      </c>
      <c r="Q118" s="647" t="e">
        <f t="shared" si="26"/>
        <v>#VALUE!</v>
      </c>
      <c r="R118" s="622"/>
      <c r="S118" s="659"/>
      <c r="T118" s="622"/>
      <c r="U118" s="620"/>
      <c r="V118" s="620"/>
      <c r="W118" s="620"/>
      <c r="X118" s="620"/>
      <c r="Y118" s="620"/>
      <c r="Z118" s="620"/>
      <c r="AA118" s="620"/>
      <c r="AB118" s="622"/>
      <c r="AC118" s="622"/>
      <c r="AD118" s="622"/>
      <c r="AE118" s="622"/>
      <c r="AF118" s="622"/>
      <c r="AG118" s="170"/>
    </row>
    <row r="119" spans="2:33" x14ac:dyDescent="0.35">
      <c r="B119" s="669">
        <f>Tables!A28</f>
        <v>3</v>
      </c>
      <c r="C119" s="647">
        <f>Tables!C28</f>
        <v>77</v>
      </c>
      <c r="D119" s="647">
        <f>Tables!D28</f>
        <v>0.216</v>
      </c>
      <c r="E119" s="670" t="e">
        <f t="shared" si="27"/>
        <v>#VALUE!</v>
      </c>
      <c r="F119" s="647" t="e">
        <f t="shared" si="28"/>
        <v>#VALUE!</v>
      </c>
      <c r="G119" s="647" t="e">
        <f t="shared" si="29"/>
        <v>#VALUE!</v>
      </c>
      <c r="H119" s="647" t="e">
        <f t="shared" si="30"/>
        <v>#VALUE!</v>
      </c>
      <c r="I119" s="647" t="e">
        <f t="shared" si="31"/>
        <v>#VALUE!</v>
      </c>
      <c r="J119" s="647">
        <f t="shared" si="21"/>
        <v>0</v>
      </c>
      <c r="K119" s="647" t="e">
        <f t="shared" si="22"/>
        <v>#VALUE!</v>
      </c>
      <c r="L119" s="647">
        <f t="shared" si="23"/>
        <v>0</v>
      </c>
      <c r="M119" s="647" t="e">
        <f t="shared" si="24"/>
        <v>#DIV/0!</v>
      </c>
      <c r="N119" s="647" t="e">
        <f t="shared" si="25"/>
        <v>#VALUE!</v>
      </c>
      <c r="O119" s="647" t="e">
        <f t="shared" si="32"/>
        <v>#VALUE!</v>
      </c>
      <c r="P119" s="647" t="e">
        <f t="shared" si="33"/>
        <v>#VALUE!</v>
      </c>
      <c r="Q119" s="647" t="e">
        <f t="shared" si="26"/>
        <v>#VALUE!</v>
      </c>
      <c r="R119" s="622"/>
      <c r="S119" s="659"/>
      <c r="T119" s="622"/>
      <c r="U119" s="620"/>
      <c r="V119" s="620"/>
      <c r="W119" s="620"/>
      <c r="X119" s="620"/>
      <c r="Y119" s="620"/>
      <c r="Z119" s="620"/>
      <c r="AA119" s="620"/>
      <c r="AB119" s="622"/>
      <c r="AC119" s="622"/>
      <c r="AD119" s="622"/>
      <c r="AE119" s="622"/>
      <c r="AF119" s="622"/>
      <c r="AG119" s="170"/>
    </row>
    <row r="120" spans="2:33" x14ac:dyDescent="0.35">
      <c r="B120" s="669">
        <f>Tables!A29</f>
        <v>4</v>
      </c>
      <c r="C120" s="647">
        <f>Tables!C29</f>
        <v>82</v>
      </c>
      <c r="D120" s="647">
        <f>Tables!D29</f>
        <v>0.161</v>
      </c>
      <c r="E120" s="670" t="e">
        <f t="shared" si="27"/>
        <v>#VALUE!</v>
      </c>
      <c r="F120" s="647" t="e">
        <f t="shared" si="28"/>
        <v>#VALUE!</v>
      </c>
      <c r="G120" s="647" t="e">
        <f t="shared" si="29"/>
        <v>#VALUE!</v>
      </c>
      <c r="H120" s="647" t="e">
        <f t="shared" si="30"/>
        <v>#VALUE!</v>
      </c>
      <c r="I120" s="647" t="e">
        <f t="shared" si="31"/>
        <v>#VALUE!</v>
      </c>
      <c r="J120" s="647">
        <f t="shared" si="21"/>
        <v>0</v>
      </c>
      <c r="K120" s="647" t="e">
        <f t="shared" si="22"/>
        <v>#VALUE!</v>
      </c>
      <c r="L120" s="647">
        <f t="shared" si="23"/>
        <v>0</v>
      </c>
      <c r="M120" s="647" t="e">
        <f t="shared" si="24"/>
        <v>#DIV/0!</v>
      </c>
      <c r="N120" s="647" t="e">
        <f t="shared" si="25"/>
        <v>#VALUE!</v>
      </c>
      <c r="O120" s="647" t="e">
        <f t="shared" si="32"/>
        <v>#VALUE!</v>
      </c>
      <c r="P120" s="647" t="e">
        <f t="shared" si="33"/>
        <v>#VALUE!</v>
      </c>
      <c r="Q120" s="647" t="e">
        <f t="shared" si="26"/>
        <v>#VALUE!</v>
      </c>
      <c r="R120" s="622"/>
      <c r="S120" s="659"/>
      <c r="T120" s="622"/>
      <c r="U120" s="620"/>
      <c r="V120" s="620"/>
      <c r="W120" s="620"/>
      <c r="X120" s="620"/>
      <c r="Y120" s="620"/>
      <c r="Z120" s="620"/>
      <c r="AA120" s="620"/>
      <c r="AB120" s="622"/>
      <c r="AC120" s="622"/>
      <c r="AD120" s="622"/>
      <c r="AE120" s="622"/>
      <c r="AF120" s="622"/>
      <c r="AG120" s="170"/>
    </row>
    <row r="121" spans="2:33" x14ac:dyDescent="0.35">
      <c r="B121" s="669">
        <f>Tables!A30</f>
        <v>5</v>
      </c>
      <c r="C121" s="647">
        <f>Tables!C30</f>
        <v>87</v>
      </c>
      <c r="D121" s="647">
        <f>Tables!D30</f>
        <v>0.104</v>
      </c>
      <c r="E121" s="670" t="e">
        <f t="shared" si="27"/>
        <v>#VALUE!</v>
      </c>
      <c r="F121" s="647" t="e">
        <f t="shared" si="28"/>
        <v>#VALUE!</v>
      </c>
      <c r="G121" s="647" t="e">
        <f t="shared" si="29"/>
        <v>#VALUE!</v>
      </c>
      <c r="H121" s="647" t="e">
        <f t="shared" si="30"/>
        <v>#VALUE!</v>
      </c>
      <c r="I121" s="647" t="e">
        <f t="shared" si="31"/>
        <v>#VALUE!</v>
      </c>
      <c r="J121" s="647">
        <f t="shared" si="21"/>
        <v>0</v>
      </c>
      <c r="K121" s="647" t="e">
        <f t="shared" si="22"/>
        <v>#VALUE!</v>
      </c>
      <c r="L121" s="647">
        <f t="shared" si="23"/>
        <v>0</v>
      </c>
      <c r="M121" s="647" t="e">
        <f t="shared" si="24"/>
        <v>#DIV/0!</v>
      </c>
      <c r="N121" s="647" t="e">
        <f t="shared" si="25"/>
        <v>#VALUE!</v>
      </c>
      <c r="O121" s="647" t="e">
        <f t="shared" si="32"/>
        <v>#VALUE!</v>
      </c>
      <c r="P121" s="647" t="e">
        <f t="shared" si="33"/>
        <v>#VALUE!</v>
      </c>
      <c r="Q121" s="647" t="e">
        <f t="shared" si="26"/>
        <v>#VALUE!</v>
      </c>
      <c r="R121" s="622"/>
      <c r="S121" s="659"/>
      <c r="T121" s="622"/>
      <c r="U121" s="620"/>
      <c r="V121" s="620"/>
      <c r="W121" s="620"/>
      <c r="X121" s="620"/>
      <c r="Y121" s="620"/>
      <c r="Z121" s="620"/>
      <c r="AA121" s="620"/>
      <c r="AB121" s="622"/>
      <c r="AC121" s="622"/>
      <c r="AD121" s="622"/>
      <c r="AE121" s="622"/>
      <c r="AF121" s="622"/>
      <c r="AG121" s="170"/>
    </row>
    <row r="122" spans="2:33" x14ac:dyDescent="0.35">
      <c r="B122" s="669">
        <f>Tables!A31</f>
        <v>6</v>
      </c>
      <c r="C122" s="647">
        <f>Tables!C31</f>
        <v>92</v>
      </c>
      <c r="D122" s="647">
        <f>Tables!D31</f>
        <v>5.1999999999999998E-2</v>
      </c>
      <c r="E122" s="670" t="e">
        <f t="shared" si="27"/>
        <v>#VALUE!</v>
      </c>
      <c r="F122" s="647" t="e">
        <f t="shared" si="28"/>
        <v>#VALUE!</v>
      </c>
      <c r="G122" s="647" t="e">
        <f t="shared" si="29"/>
        <v>#VALUE!</v>
      </c>
      <c r="H122" s="647" t="e">
        <f t="shared" si="30"/>
        <v>#VALUE!</v>
      </c>
      <c r="I122" s="647" t="e">
        <f t="shared" si="31"/>
        <v>#VALUE!</v>
      </c>
      <c r="J122" s="647">
        <f t="shared" si="21"/>
        <v>0</v>
      </c>
      <c r="K122" s="647" t="e">
        <f t="shared" si="22"/>
        <v>#VALUE!</v>
      </c>
      <c r="L122" s="647">
        <f t="shared" si="23"/>
        <v>0</v>
      </c>
      <c r="M122" s="647" t="e">
        <f t="shared" si="24"/>
        <v>#DIV/0!</v>
      </c>
      <c r="N122" s="647" t="e">
        <f t="shared" si="25"/>
        <v>#VALUE!</v>
      </c>
      <c r="O122" s="647" t="e">
        <f t="shared" si="32"/>
        <v>#VALUE!</v>
      </c>
      <c r="P122" s="647" t="e">
        <f t="shared" si="33"/>
        <v>#VALUE!</v>
      </c>
      <c r="Q122" s="647" t="e">
        <f t="shared" si="26"/>
        <v>#VALUE!</v>
      </c>
      <c r="R122" s="622"/>
      <c r="S122" s="659"/>
      <c r="T122" s="622"/>
      <c r="U122" s="620"/>
      <c r="V122" s="620"/>
      <c r="W122" s="620"/>
      <c r="X122" s="620"/>
      <c r="Y122" s="620"/>
      <c r="Z122" s="620"/>
      <c r="AA122" s="620"/>
      <c r="AB122" s="622"/>
      <c r="AC122" s="622"/>
      <c r="AD122" s="622"/>
      <c r="AE122" s="622"/>
      <c r="AF122" s="622"/>
      <c r="AG122" s="170"/>
    </row>
    <row r="123" spans="2:33" x14ac:dyDescent="0.35">
      <c r="B123" s="669">
        <f>Tables!A32</f>
        <v>7</v>
      </c>
      <c r="C123" s="647">
        <f>Tables!C32</f>
        <v>97</v>
      </c>
      <c r="D123" s="647">
        <f>Tables!D32</f>
        <v>1.7999999999999999E-2</v>
      </c>
      <c r="E123" s="670" t="e">
        <f t="shared" si="27"/>
        <v>#VALUE!</v>
      </c>
      <c r="F123" s="647" t="e">
        <f t="shared" si="28"/>
        <v>#VALUE!</v>
      </c>
      <c r="G123" s="647" t="e">
        <f t="shared" si="29"/>
        <v>#VALUE!</v>
      </c>
      <c r="H123" s="647" t="e">
        <f t="shared" si="30"/>
        <v>#VALUE!</v>
      </c>
      <c r="I123" s="647" t="e">
        <f t="shared" si="31"/>
        <v>#VALUE!</v>
      </c>
      <c r="J123" s="647">
        <f t="shared" si="21"/>
        <v>0</v>
      </c>
      <c r="K123" s="647" t="e">
        <f t="shared" si="22"/>
        <v>#VALUE!</v>
      </c>
      <c r="L123" s="647">
        <f t="shared" si="23"/>
        <v>0</v>
      </c>
      <c r="M123" s="647" t="e">
        <f t="shared" si="24"/>
        <v>#DIV/0!</v>
      </c>
      <c r="N123" s="647" t="e">
        <f t="shared" si="25"/>
        <v>#VALUE!</v>
      </c>
      <c r="O123" s="647" t="e">
        <f t="shared" si="32"/>
        <v>#VALUE!</v>
      </c>
      <c r="P123" s="647" t="e">
        <f t="shared" si="33"/>
        <v>#VALUE!</v>
      </c>
      <c r="Q123" s="647" t="e">
        <f t="shared" si="26"/>
        <v>#VALUE!</v>
      </c>
      <c r="R123" s="622"/>
      <c r="S123" s="659"/>
      <c r="T123" s="622"/>
      <c r="U123" s="620"/>
      <c r="V123" s="620"/>
      <c r="W123" s="620"/>
      <c r="X123" s="620"/>
      <c r="Y123" s="620"/>
      <c r="Z123" s="620"/>
      <c r="AA123" s="620"/>
      <c r="AB123" s="622"/>
      <c r="AC123" s="622"/>
      <c r="AD123" s="622"/>
      <c r="AE123" s="622"/>
      <c r="AF123" s="622"/>
      <c r="AG123" s="170"/>
    </row>
    <row r="124" spans="2:33" x14ac:dyDescent="0.35">
      <c r="B124" s="669">
        <f>Tables!A33</f>
        <v>8</v>
      </c>
      <c r="C124" s="647">
        <f>Tables!C33</f>
        <v>102</v>
      </c>
      <c r="D124" s="647">
        <f>Tables!D33</f>
        <v>4.0000000000000001E-3</v>
      </c>
      <c r="E124" s="670" t="e">
        <f t="shared" si="27"/>
        <v>#VALUE!</v>
      </c>
      <c r="F124" s="647" t="e">
        <f>$C$39+((($C$31-$C$39)/(82-67))*(C124-67))</f>
        <v>#VALUE!</v>
      </c>
      <c r="G124" s="647" t="e">
        <f t="shared" si="29"/>
        <v>#VALUE!</v>
      </c>
      <c r="H124" s="647" t="e">
        <f t="shared" si="30"/>
        <v>#VALUE!</v>
      </c>
      <c r="I124" s="647" t="e">
        <f t="shared" si="31"/>
        <v>#VALUE!</v>
      </c>
      <c r="J124" s="647">
        <f t="shared" si="21"/>
        <v>0</v>
      </c>
      <c r="K124" s="647" t="e">
        <f t="shared" si="22"/>
        <v>#VALUE!</v>
      </c>
      <c r="L124" s="647">
        <f t="shared" si="23"/>
        <v>0</v>
      </c>
      <c r="M124" s="647" t="e">
        <f t="shared" si="24"/>
        <v>#DIV/0!</v>
      </c>
      <c r="N124" s="647" t="e">
        <f t="shared" si="25"/>
        <v>#VALUE!</v>
      </c>
      <c r="O124" s="647" t="e">
        <f t="shared" si="32"/>
        <v>#VALUE!</v>
      </c>
      <c r="P124" s="647" t="e">
        <f t="shared" si="33"/>
        <v>#VALUE!</v>
      </c>
      <c r="Q124" s="647" t="e">
        <f t="shared" si="26"/>
        <v>#VALUE!</v>
      </c>
      <c r="R124" s="622"/>
      <c r="S124" s="659"/>
      <c r="T124" s="622"/>
      <c r="U124" s="620"/>
      <c r="V124" s="620"/>
      <c r="W124" s="620"/>
      <c r="X124" s="620"/>
      <c r="Y124" s="620"/>
      <c r="Z124" s="620"/>
      <c r="AA124" s="620"/>
      <c r="AB124" s="622"/>
      <c r="AC124" s="622"/>
      <c r="AD124" s="622"/>
      <c r="AE124" s="622"/>
      <c r="AF124" s="622"/>
      <c r="AG124" s="170"/>
    </row>
    <row r="125" spans="2:33" x14ac:dyDescent="0.35">
      <c r="B125" s="658"/>
      <c r="C125" s="650"/>
      <c r="D125" s="621"/>
      <c r="E125" s="621"/>
      <c r="F125" s="621"/>
      <c r="G125" s="621"/>
      <c r="H125" s="621"/>
      <c r="I125" s="621"/>
      <c r="J125" s="621"/>
      <c r="K125" s="621"/>
      <c r="L125" s="621"/>
      <c r="M125" s="621"/>
      <c r="N125" s="621"/>
      <c r="O125" s="621"/>
      <c r="P125" s="650"/>
      <c r="Q125" s="650"/>
      <c r="R125" s="621"/>
      <c r="S125" s="659"/>
      <c r="T125" s="622"/>
      <c r="U125" s="620"/>
      <c r="V125" s="620"/>
      <c r="W125" s="620"/>
      <c r="X125" s="620"/>
      <c r="Y125" s="620"/>
      <c r="Z125" s="620"/>
      <c r="AA125" s="620"/>
      <c r="AB125" s="622"/>
      <c r="AC125" s="622"/>
      <c r="AD125" s="622"/>
      <c r="AE125" s="622"/>
      <c r="AF125" s="622"/>
      <c r="AG125" s="170"/>
    </row>
    <row r="126" spans="2:33" x14ac:dyDescent="0.35">
      <c r="B126" s="663" t="s">
        <v>227</v>
      </c>
      <c r="C126" s="670" t="e">
        <f>SUM(P117:P124)</f>
        <v>#VALUE!</v>
      </c>
      <c r="D126" s="621"/>
      <c r="E126" s="650"/>
      <c r="F126" s="650"/>
      <c r="G126" s="650"/>
      <c r="H126" s="650"/>
      <c r="I126" s="650"/>
      <c r="J126" s="650"/>
      <c r="K126" s="650"/>
      <c r="L126" s="650"/>
      <c r="M126" s="650"/>
      <c r="N126" s="650"/>
      <c r="O126" s="650"/>
      <c r="P126" s="650"/>
      <c r="Q126" s="650"/>
      <c r="R126" s="621"/>
      <c r="S126" s="659"/>
      <c r="T126" s="622"/>
      <c r="U126" s="620"/>
      <c r="V126" s="620"/>
      <c r="W126" s="620"/>
      <c r="X126" s="620"/>
      <c r="Y126" s="620"/>
      <c r="Z126" s="620"/>
      <c r="AA126" s="620"/>
      <c r="AB126" s="622"/>
      <c r="AC126" s="622"/>
      <c r="AD126" s="622"/>
      <c r="AE126" s="622"/>
      <c r="AF126" s="622"/>
      <c r="AG126" s="170"/>
    </row>
    <row r="127" spans="2:33" x14ac:dyDescent="0.35">
      <c r="B127" s="663" t="s">
        <v>228</v>
      </c>
      <c r="C127" s="670" t="e">
        <f>SUM(O117:O124)</f>
        <v>#VALUE!</v>
      </c>
      <c r="D127" s="650"/>
      <c r="E127" s="650"/>
      <c r="F127" s="650"/>
      <c r="G127" s="650"/>
      <c r="H127" s="650"/>
      <c r="I127" s="650"/>
      <c r="J127" s="650"/>
      <c r="K127" s="650"/>
      <c r="L127" s="650"/>
      <c r="M127" s="650"/>
      <c r="N127" s="650"/>
      <c r="O127" s="650"/>
      <c r="P127" s="650"/>
      <c r="Q127" s="650"/>
      <c r="R127" s="621"/>
      <c r="S127" s="659"/>
      <c r="T127" s="622"/>
      <c r="U127" s="620"/>
      <c r="V127" s="620"/>
      <c r="W127" s="620"/>
      <c r="X127" s="620"/>
      <c r="Y127" s="620"/>
      <c r="Z127" s="620"/>
      <c r="AA127" s="620"/>
      <c r="AB127" s="622"/>
      <c r="AC127" s="622"/>
      <c r="AD127" s="622"/>
      <c r="AE127" s="622"/>
      <c r="AF127" s="622"/>
      <c r="AG127" s="170"/>
    </row>
    <row r="128" spans="2:33" ht="39" customHeight="1" thickBot="1" x14ac:dyDescent="0.4">
      <c r="B128" s="658"/>
      <c r="C128" s="741" t="s">
        <v>625</v>
      </c>
      <c r="D128" s="918" t="s">
        <v>626</v>
      </c>
      <c r="E128" s="918"/>
      <c r="F128" s="650"/>
      <c r="G128" s="650"/>
      <c r="H128" s="650"/>
      <c r="I128" s="650"/>
      <c r="J128" s="650"/>
      <c r="K128" s="650"/>
      <c r="L128" s="650"/>
      <c r="M128" s="650"/>
      <c r="N128" s="650"/>
      <c r="O128" s="650"/>
      <c r="P128" s="650"/>
      <c r="Q128" s="650"/>
      <c r="R128" s="621"/>
      <c r="S128" s="659"/>
      <c r="T128" s="622"/>
      <c r="U128" s="620"/>
      <c r="V128" s="620"/>
      <c r="W128" s="620"/>
      <c r="X128" s="620"/>
      <c r="Y128" s="620"/>
      <c r="Z128" s="620"/>
      <c r="AA128" s="620"/>
      <c r="AB128" s="622"/>
      <c r="AC128" s="622"/>
      <c r="AD128" s="622"/>
      <c r="AE128" s="622"/>
      <c r="AF128" s="622"/>
      <c r="AG128" s="170"/>
    </row>
    <row r="129" spans="2:33" ht="18.75" thickBot="1" x14ac:dyDescent="0.4">
      <c r="B129" s="665" t="s">
        <v>204</v>
      </c>
      <c r="C129" s="686" t="e">
        <f>C126/C127</f>
        <v>#VALUE!</v>
      </c>
      <c r="D129" s="1040"/>
      <c r="E129" s="1040"/>
      <c r="F129" s="650"/>
      <c r="G129" s="650"/>
      <c r="H129" s="650"/>
      <c r="I129" s="621"/>
      <c r="J129" s="621"/>
      <c r="K129" s="650"/>
      <c r="L129" s="650"/>
      <c r="M129" s="650"/>
      <c r="N129" s="650"/>
      <c r="O129" s="621"/>
      <c r="P129" s="650"/>
      <c r="Q129" s="650"/>
      <c r="R129" s="621"/>
      <c r="S129" s="659"/>
      <c r="T129" s="622"/>
      <c r="U129" s="620"/>
      <c r="V129" s="620"/>
      <c r="W129" s="620"/>
      <c r="X129" s="620"/>
      <c r="Y129" s="620"/>
      <c r="Z129" s="620"/>
      <c r="AA129" s="620"/>
      <c r="AB129" s="622"/>
      <c r="AC129" s="622"/>
      <c r="AD129" s="622"/>
      <c r="AE129" s="622"/>
      <c r="AF129" s="622"/>
      <c r="AG129" s="170"/>
    </row>
    <row r="130" spans="2:33" ht="18.75" thickBot="1" x14ac:dyDescent="0.4">
      <c r="B130" s="687"/>
      <c r="C130" s="656"/>
      <c r="D130" s="656"/>
      <c r="E130" s="656"/>
      <c r="F130" s="656"/>
      <c r="G130" s="656"/>
      <c r="H130" s="656"/>
      <c r="I130" s="656"/>
      <c r="J130" s="656"/>
      <c r="K130" s="656"/>
      <c r="L130" s="656"/>
      <c r="M130" s="656"/>
      <c r="N130" s="656"/>
      <c r="O130" s="656"/>
      <c r="P130" s="656"/>
      <c r="Q130" s="656"/>
      <c r="R130" s="688"/>
      <c r="S130" s="689"/>
      <c r="T130" s="622"/>
      <c r="U130" s="620"/>
      <c r="V130" s="620"/>
      <c r="W130" s="620"/>
      <c r="X130" s="620"/>
      <c r="Y130" s="620"/>
      <c r="Z130" s="620"/>
      <c r="AA130" s="620"/>
      <c r="AB130" s="622"/>
      <c r="AC130" s="622"/>
      <c r="AD130" s="622"/>
      <c r="AE130" s="622"/>
      <c r="AF130" s="622"/>
      <c r="AG130" s="170"/>
    </row>
    <row r="131" spans="2:33" x14ac:dyDescent="0.35">
      <c r="B131" s="620"/>
      <c r="C131" s="620"/>
      <c r="D131" s="620"/>
      <c r="E131" s="620"/>
      <c r="F131" s="620"/>
      <c r="G131" s="620"/>
      <c r="H131" s="620"/>
      <c r="I131" s="620"/>
      <c r="J131" s="620"/>
      <c r="K131" s="620"/>
      <c r="L131" s="620"/>
      <c r="M131" s="620"/>
      <c r="N131" s="620"/>
      <c r="O131" s="620"/>
      <c r="P131" s="620"/>
      <c r="Q131" s="620"/>
      <c r="R131" s="622"/>
      <c r="S131" s="622"/>
      <c r="T131" s="622"/>
      <c r="U131" s="620"/>
      <c r="V131" s="620"/>
      <c r="W131" s="620"/>
      <c r="X131" s="620"/>
      <c r="Y131" s="620"/>
      <c r="Z131" s="620"/>
      <c r="AA131" s="620"/>
      <c r="AB131" s="622"/>
      <c r="AC131" s="622"/>
      <c r="AD131" s="622"/>
      <c r="AE131" s="622"/>
      <c r="AF131" s="622"/>
      <c r="AG131" s="170"/>
    </row>
    <row r="132" spans="2:33" ht="18.75" thickBot="1" x14ac:dyDescent="0.4">
      <c r="B132" s="622"/>
      <c r="C132" s="622"/>
      <c r="D132" s="622"/>
      <c r="E132" s="622"/>
      <c r="F132" s="622"/>
      <c r="G132" s="620"/>
      <c r="H132" s="620"/>
      <c r="I132" s="622"/>
      <c r="J132" s="622"/>
      <c r="K132" s="622"/>
      <c r="L132" s="622"/>
      <c r="M132" s="622"/>
      <c r="N132" s="622"/>
      <c r="O132" s="622"/>
      <c r="P132" s="622"/>
      <c r="Q132" s="622"/>
      <c r="R132" s="622"/>
      <c r="S132" s="622"/>
      <c r="T132" s="622"/>
      <c r="U132" s="620"/>
      <c r="V132" s="620"/>
      <c r="W132" s="620"/>
      <c r="X132" s="620"/>
      <c r="Y132" s="620"/>
      <c r="Z132" s="620"/>
      <c r="AA132" s="620"/>
      <c r="AB132" s="622"/>
      <c r="AC132" s="622"/>
      <c r="AD132" s="622"/>
      <c r="AE132" s="622"/>
      <c r="AF132" s="622"/>
      <c r="AG132" s="170"/>
    </row>
    <row r="133" spans="2:33" ht="18.75" thickBot="1" x14ac:dyDescent="0.4">
      <c r="B133" s="1062" t="s">
        <v>233</v>
      </c>
      <c r="C133" s="1063"/>
      <c r="D133" s="1063"/>
      <c r="E133" s="1063"/>
      <c r="F133" s="1063"/>
      <c r="G133" s="1063"/>
      <c r="H133" s="1063"/>
      <c r="I133" s="1063"/>
      <c r="J133" s="1063"/>
      <c r="K133" s="1063"/>
      <c r="L133" s="1063"/>
      <c r="M133" s="1063"/>
      <c r="N133" s="1063"/>
      <c r="O133" s="1063"/>
      <c r="P133" s="1063"/>
      <c r="Q133" s="1063"/>
      <c r="R133" s="1063"/>
      <c r="S133" s="1063"/>
      <c r="T133" s="1063"/>
      <c r="U133" s="1063"/>
      <c r="V133" s="1064"/>
      <c r="W133" s="620"/>
      <c r="X133" s="620"/>
      <c r="Y133" s="620"/>
      <c r="Z133" s="620"/>
      <c r="AA133" s="620"/>
      <c r="AB133" s="622"/>
      <c r="AC133" s="622"/>
      <c r="AD133" s="622"/>
      <c r="AE133" s="622"/>
      <c r="AF133" s="622"/>
      <c r="AG133" s="170"/>
    </row>
    <row r="134" spans="2:33" ht="18.75" thickBot="1" x14ac:dyDescent="0.4">
      <c r="B134" s="643"/>
      <c r="C134" s="621"/>
      <c r="D134" s="621"/>
      <c r="E134" s="621"/>
      <c r="F134" s="621"/>
      <c r="G134" s="650"/>
      <c r="H134" s="650"/>
      <c r="I134" s="621"/>
      <c r="J134" s="621"/>
      <c r="K134" s="621"/>
      <c r="L134" s="621"/>
      <c r="M134" s="621"/>
      <c r="N134" s="621"/>
      <c r="O134" s="621"/>
      <c r="P134" s="621"/>
      <c r="Q134" s="621"/>
      <c r="R134" s="621"/>
      <c r="S134" s="621"/>
      <c r="T134" s="621"/>
      <c r="U134" s="650"/>
      <c r="V134" s="690"/>
      <c r="W134" s="620"/>
      <c r="X134" s="620"/>
      <c r="Y134" s="620"/>
      <c r="Z134" s="620"/>
      <c r="AA134" s="620"/>
      <c r="AB134" s="622"/>
      <c r="AC134" s="622"/>
      <c r="AD134" s="622"/>
      <c r="AE134" s="622"/>
      <c r="AF134" s="622"/>
      <c r="AG134" s="170"/>
    </row>
    <row r="135" spans="2:33" ht="36.75" customHeight="1" thickBot="1" x14ac:dyDescent="0.4">
      <c r="B135" s="691" t="s">
        <v>0</v>
      </c>
      <c r="C135" s="692" t="s">
        <v>102</v>
      </c>
      <c r="D135" s="693"/>
      <c r="E135" s="1051" t="s">
        <v>298</v>
      </c>
      <c r="F135" s="1052"/>
      <c r="G135" s="692" t="s">
        <v>493</v>
      </c>
      <c r="H135" s="650"/>
      <c r="I135" s="621"/>
      <c r="J135" s="621"/>
      <c r="K135" s="621"/>
      <c r="L135" s="621"/>
      <c r="M135" s="621"/>
      <c r="N135" s="621"/>
      <c r="O135" s="621"/>
      <c r="P135" s="621"/>
      <c r="Q135" s="621"/>
      <c r="R135" s="621"/>
      <c r="S135" s="621"/>
      <c r="T135" s="621"/>
      <c r="U135" s="650"/>
      <c r="V135" s="690"/>
      <c r="W135" s="620"/>
      <c r="X135" s="620"/>
      <c r="Y135" s="620"/>
      <c r="Z135" s="620"/>
      <c r="AA135" s="620"/>
      <c r="AB135" s="622"/>
      <c r="AC135" s="622"/>
      <c r="AD135" s="622"/>
      <c r="AE135" s="622"/>
      <c r="AF135" s="622"/>
      <c r="AG135" s="170"/>
    </row>
    <row r="136" spans="2:33" ht="39" customHeight="1" thickBot="1" x14ac:dyDescent="0.4">
      <c r="B136" s="691" t="s">
        <v>128</v>
      </c>
      <c r="C136" s="686">
        <f>HLOOKUP($C$135,Tables!$A$1:$H$4,4)</f>
        <v>15</v>
      </c>
      <c r="D136" s="694"/>
      <c r="E136" s="1051" t="s">
        <v>300</v>
      </c>
      <c r="F136" s="1052"/>
      <c r="G136" s="692" t="s">
        <v>494</v>
      </c>
      <c r="H136" s="650"/>
      <c r="I136" s="621"/>
      <c r="J136" s="621"/>
      <c r="K136" s="621"/>
      <c r="L136" s="621"/>
      <c r="M136" s="621"/>
      <c r="N136" s="621"/>
      <c r="O136" s="621"/>
      <c r="P136" s="621"/>
      <c r="Q136" s="621"/>
      <c r="R136" s="621"/>
      <c r="S136" s="621"/>
      <c r="T136" s="621"/>
      <c r="U136" s="621"/>
      <c r="V136" s="659"/>
      <c r="W136" s="622"/>
      <c r="X136" s="622"/>
      <c r="Y136" s="622"/>
      <c r="Z136" s="622"/>
      <c r="AA136" s="622"/>
      <c r="AB136" s="622"/>
      <c r="AC136" s="622"/>
      <c r="AD136" s="622"/>
      <c r="AE136" s="622"/>
      <c r="AF136" s="622"/>
      <c r="AG136" s="170"/>
    </row>
    <row r="137" spans="2:33" ht="36" customHeight="1" thickBot="1" x14ac:dyDescent="0.4">
      <c r="B137" s="695"/>
      <c r="C137" s="693"/>
      <c r="D137" s="694"/>
      <c r="E137" s="1051" t="str">
        <f>IF($G$135="Minimum","Minimum Design Heating Requirement, DHRmin","Maximum Design Heating Requirement, DHRmax")</f>
        <v>Maximum Design Heating Requirement, DHRmax</v>
      </c>
      <c r="F137" s="1052"/>
      <c r="G137" s="686" t="e">
        <f>MROUND(IF(AND($C$135="V",$G$135 = "Minimum"),$G$138,IF(AND($C$135="V",$G$135 = "Maximum"),2.2*$G$138,IF($G$135="Minimum",$G$138*((65-$G$139)/60),2*$G$138*((65-$G$139)/60)))),5000)</f>
        <v>#VALUE!</v>
      </c>
      <c r="H137" s="650"/>
      <c r="I137" s="621"/>
      <c r="J137" s="621"/>
      <c r="K137" s="621"/>
      <c r="L137" s="621"/>
      <c r="M137" s="621"/>
      <c r="N137" s="621"/>
      <c r="O137" s="621"/>
      <c r="P137" s="621"/>
      <c r="Q137" s="621"/>
      <c r="R137" s="621"/>
      <c r="S137" s="621"/>
      <c r="T137" s="621"/>
      <c r="U137" s="621"/>
      <c r="V137" s="659"/>
      <c r="W137" s="622"/>
      <c r="X137" s="622"/>
      <c r="Y137" s="622"/>
      <c r="Z137" s="622"/>
      <c r="AA137" s="622"/>
      <c r="AB137" s="622"/>
      <c r="AC137" s="622"/>
      <c r="AD137" s="622"/>
      <c r="AE137" s="622"/>
      <c r="AF137" s="622"/>
      <c r="AG137" s="170"/>
    </row>
    <row r="138" spans="2:33" ht="40.5" customHeight="1" thickBot="1" x14ac:dyDescent="0.4">
      <c r="B138" s="1053" t="s">
        <v>301</v>
      </c>
      <c r="C138" s="1057"/>
      <c r="D138" s="694"/>
      <c r="E138" s="1051" t="s">
        <v>299</v>
      </c>
      <c r="F138" s="1052"/>
      <c r="G138" s="686" t="str">
        <f>IF($G$136="H1",$C$43,IF($G$136="H1-1",$C$44,IF($G$136="H1-2",$C$45,IF($G$136="H1-N",$C$58,"Error, Fix Cell G135"))))</f>
        <v/>
      </c>
      <c r="H138" s="650"/>
      <c r="I138" s="621"/>
      <c r="J138" s="621"/>
      <c r="K138" s="621"/>
      <c r="L138" s="621"/>
      <c r="M138" s="621"/>
      <c r="N138" s="621"/>
      <c r="O138" s="621"/>
      <c r="P138" s="621"/>
      <c r="Q138" s="621"/>
      <c r="R138" s="621"/>
      <c r="S138" s="621"/>
      <c r="T138" s="621"/>
      <c r="U138" s="621"/>
      <c r="V138" s="659"/>
      <c r="W138" s="622"/>
      <c r="X138" s="622"/>
      <c r="Y138" s="622"/>
      <c r="Z138" s="622"/>
      <c r="AA138" s="622"/>
      <c r="AB138" s="622"/>
      <c r="AC138" s="622"/>
      <c r="AD138" s="622"/>
      <c r="AE138" s="622"/>
      <c r="AF138" s="622"/>
      <c r="AG138" s="170"/>
    </row>
    <row r="139" spans="2:33" ht="38.25" customHeight="1" thickBot="1" x14ac:dyDescent="0.4">
      <c r="B139" s="1054"/>
      <c r="C139" s="1058"/>
      <c r="D139" s="694"/>
      <c r="E139" s="1051" t="s">
        <v>406</v>
      </c>
      <c r="F139" s="1052"/>
      <c r="G139" s="686">
        <f>HLOOKUP($C$135,Tables!$A$1:$H$4,3)</f>
        <v>5</v>
      </c>
      <c r="H139" s="650"/>
      <c r="I139" s="621"/>
      <c r="J139" s="621"/>
      <c r="K139" s="621"/>
      <c r="L139" s="621"/>
      <c r="M139" s="621"/>
      <c r="N139" s="621"/>
      <c r="O139" s="621"/>
      <c r="P139" s="621"/>
      <c r="Q139" s="621"/>
      <c r="R139" s="621"/>
      <c r="S139" s="621"/>
      <c r="T139" s="621"/>
      <c r="U139" s="621"/>
      <c r="V139" s="659"/>
      <c r="W139" s="622"/>
      <c r="X139" s="622"/>
      <c r="Y139" s="622"/>
      <c r="Z139" s="622"/>
      <c r="AA139" s="622"/>
      <c r="AB139" s="622"/>
      <c r="AC139" s="622"/>
      <c r="AD139" s="622"/>
      <c r="AE139" s="622"/>
      <c r="AF139" s="622"/>
      <c r="AG139" s="170"/>
    </row>
    <row r="140" spans="2:33" ht="18.75" thickBot="1" x14ac:dyDescent="0.4">
      <c r="B140" s="1055" t="s">
        <v>302</v>
      </c>
      <c r="C140" s="1057"/>
      <c r="D140" s="694"/>
      <c r="E140" s="1051" t="s">
        <v>136</v>
      </c>
      <c r="F140" s="1052"/>
      <c r="G140" s="686">
        <v>0.77</v>
      </c>
      <c r="H140" s="650"/>
      <c r="I140" s="621"/>
      <c r="J140" s="621"/>
      <c r="K140" s="621"/>
      <c r="L140" s="621"/>
      <c r="M140" s="621"/>
      <c r="N140" s="621"/>
      <c r="O140" s="621"/>
      <c r="P140" s="621"/>
      <c r="Q140" s="621"/>
      <c r="R140" s="621"/>
      <c r="S140" s="621"/>
      <c r="T140" s="621"/>
      <c r="U140" s="621"/>
      <c r="V140" s="659"/>
      <c r="W140" s="622"/>
      <c r="X140" s="622"/>
      <c r="Y140" s="622"/>
      <c r="Z140" s="622"/>
      <c r="AA140" s="622"/>
      <c r="AB140" s="622"/>
      <c r="AC140" s="622"/>
      <c r="AD140" s="622"/>
      <c r="AE140" s="622"/>
      <c r="AF140" s="622"/>
      <c r="AG140" s="170"/>
    </row>
    <row r="141" spans="2:33" ht="31.5" customHeight="1" thickBot="1" x14ac:dyDescent="0.4">
      <c r="B141" s="1056"/>
      <c r="C141" s="1058"/>
      <c r="D141" s="694"/>
      <c r="E141" s="693"/>
      <c r="F141" s="693"/>
      <c r="G141" s="693"/>
      <c r="H141" s="650"/>
      <c r="I141" s="621"/>
      <c r="J141" s="621"/>
      <c r="K141" s="621"/>
      <c r="L141" s="621"/>
      <c r="M141" s="621"/>
      <c r="N141" s="621"/>
      <c r="O141" s="621"/>
      <c r="P141" s="621"/>
      <c r="Q141" s="621"/>
      <c r="R141" s="621"/>
      <c r="S141" s="621"/>
      <c r="T141" s="621"/>
      <c r="U141" s="621"/>
      <c r="V141" s="659"/>
      <c r="W141" s="622"/>
      <c r="X141" s="622"/>
      <c r="Y141" s="622"/>
      <c r="Z141" s="622"/>
      <c r="AA141" s="622"/>
      <c r="AB141" s="622"/>
      <c r="AC141" s="622"/>
      <c r="AD141" s="622"/>
      <c r="AE141" s="622"/>
      <c r="AF141" s="622"/>
      <c r="AG141" s="170"/>
    </row>
    <row r="142" spans="2:33" x14ac:dyDescent="0.35">
      <c r="B142" s="646"/>
      <c r="C142" s="696"/>
      <c r="D142" s="621"/>
      <c r="E142" s="621"/>
      <c r="F142" s="621"/>
      <c r="G142" s="621"/>
      <c r="H142" s="650"/>
      <c r="I142" s="621"/>
      <c r="J142" s="621"/>
      <c r="K142" s="621"/>
      <c r="L142" s="621"/>
      <c r="M142" s="621"/>
      <c r="N142" s="621"/>
      <c r="O142" s="621"/>
      <c r="P142" s="621"/>
      <c r="Q142" s="621"/>
      <c r="R142" s="621"/>
      <c r="S142" s="621"/>
      <c r="T142" s="621"/>
      <c r="U142" s="621"/>
      <c r="V142" s="659"/>
      <c r="W142" s="622"/>
      <c r="X142" s="622"/>
      <c r="Y142" s="622"/>
      <c r="Z142" s="622"/>
      <c r="AA142" s="622"/>
      <c r="AB142" s="622"/>
      <c r="AC142" s="622"/>
      <c r="AD142" s="622"/>
      <c r="AE142" s="622"/>
      <c r="AF142" s="622"/>
      <c r="AG142" s="170"/>
    </row>
    <row r="143" spans="2:33" ht="18" customHeight="1" x14ac:dyDescent="0.35">
      <c r="B143" s="660" t="s">
        <v>485</v>
      </c>
      <c r="C143" s="661"/>
      <c r="D143" s="661"/>
      <c r="E143" s="661"/>
      <c r="F143" s="661"/>
      <c r="G143" s="661"/>
      <c r="H143" s="661"/>
      <c r="I143" s="661"/>
      <c r="J143" s="661"/>
      <c r="K143" s="661"/>
      <c r="L143" s="661"/>
      <c r="M143" s="661"/>
      <c r="N143" s="661"/>
      <c r="O143" s="661"/>
      <c r="P143" s="661"/>
      <c r="Q143" s="661"/>
      <c r="R143" s="662"/>
      <c r="S143" s="621"/>
      <c r="T143" s="621"/>
      <c r="U143" s="621"/>
      <c r="V143" s="659"/>
      <c r="W143" s="622"/>
      <c r="X143" s="622"/>
      <c r="Y143" s="622"/>
      <c r="Z143" s="622"/>
      <c r="AA143" s="622"/>
      <c r="AB143" s="622"/>
      <c r="AC143" s="622"/>
      <c r="AD143" s="622"/>
      <c r="AE143" s="622"/>
      <c r="AF143" s="622"/>
      <c r="AG143" s="170"/>
    </row>
    <row r="144" spans="2:33" x14ac:dyDescent="0.35">
      <c r="B144" s="643"/>
      <c r="C144" s="621"/>
      <c r="D144" s="621"/>
      <c r="E144" s="621"/>
      <c r="F144" s="621"/>
      <c r="G144" s="650"/>
      <c r="H144" s="650"/>
      <c r="I144" s="621"/>
      <c r="J144" s="621"/>
      <c r="K144" s="621"/>
      <c r="L144" s="621"/>
      <c r="M144" s="621"/>
      <c r="N144" s="621"/>
      <c r="O144" s="621"/>
      <c r="P144" s="621"/>
      <c r="Q144" s="621"/>
      <c r="R144" s="621"/>
      <c r="S144" s="621"/>
      <c r="T144" s="621"/>
      <c r="U144" s="621"/>
      <c r="V144" s="659"/>
      <c r="W144" s="622"/>
      <c r="X144" s="622"/>
      <c r="Y144" s="622"/>
      <c r="Z144" s="622"/>
      <c r="AA144" s="622"/>
      <c r="AB144" s="622"/>
      <c r="AC144" s="622"/>
      <c r="AD144" s="622"/>
      <c r="AE144" s="622"/>
      <c r="AF144" s="622"/>
      <c r="AG144" s="170"/>
    </row>
    <row r="145" spans="2:33" x14ac:dyDescent="0.35">
      <c r="B145" s="658"/>
      <c r="C145" s="650"/>
      <c r="D145" s="621"/>
      <c r="E145" s="650"/>
      <c r="F145" s="650"/>
      <c r="G145" s="621"/>
      <c r="H145" s="621"/>
      <c r="I145" s="621"/>
      <c r="J145" s="621"/>
      <c r="K145" s="621"/>
      <c r="L145" s="621"/>
      <c r="M145" s="621"/>
      <c r="N145" s="621"/>
      <c r="O145" s="621"/>
      <c r="P145" s="621"/>
      <c r="Q145" s="621"/>
      <c r="R145" s="621"/>
      <c r="S145" s="621"/>
      <c r="T145" s="621"/>
      <c r="U145" s="621"/>
      <c r="V145" s="659"/>
      <c r="W145" s="622"/>
      <c r="X145" s="622"/>
      <c r="Y145" s="622"/>
      <c r="Z145" s="622"/>
      <c r="AA145" s="622"/>
      <c r="AB145" s="622"/>
      <c r="AC145" s="622"/>
      <c r="AD145" s="622"/>
      <c r="AE145" s="622"/>
      <c r="AF145" s="622"/>
      <c r="AG145" s="170"/>
    </row>
    <row r="146" spans="2:33" x14ac:dyDescent="0.35">
      <c r="B146" s="651" t="s">
        <v>407</v>
      </c>
      <c r="C146" s="697" t="e">
        <f>ROUND(MIN(0.25,((1-(($C$52/($I$52))/($C$43/($I$43))))/(1-$C$52/($C$43*'Optional H1C Test Recorded Data'!D13)))),2)</f>
        <v>#VALUE!</v>
      </c>
      <c r="D146" s="650"/>
      <c r="E146" s="650"/>
      <c r="F146" s="650"/>
      <c r="G146" s="650"/>
      <c r="H146" s="650"/>
      <c r="I146" s="650"/>
      <c r="J146" s="650"/>
      <c r="K146" s="650"/>
      <c r="L146" s="650"/>
      <c r="M146" s="650"/>
      <c r="N146" s="650"/>
      <c r="O146" s="650"/>
      <c r="P146" s="650"/>
      <c r="Q146" s="650"/>
      <c r="R146" s="621"/>
      <c r="S146" s="621"/>
      <c r="T146" s="621"/>
      <c r="U146" s="621"/>
      <c r="V146" s="659"/>
      <c r="W146" s="622"/>
      <c r="X146" s="622"/>
      <c r="Y146" s="622"/>
      <c r="Z146" s="622"/>
      <c r="AA146" s="622"/>
      <c r="AB146" s="622"/>
      <c r="AC146" s="622"/>
      <c r="AD146" s="622"/>
      <c r="AE146" s="622"/>
      <c r="AF146" s="622"/>
      <c r="AG146" s="170"/>
    </row>
    <row r="147" spans="2:33" x14ac:dyDescent="0.35">
      <c r="B147" s="658"/>
      <c r="C147" s="650"/>
      <c r="D147" s="650"/>
      <c r="E147" s="650"/>
      <c r="F147" s="650"/>
      <c r="G147" s="650"/>
      <c r="H147" s="650"/>
      <c r="I147" s="650"/>
      <c r="J147" s="650"/>
      <c r="K147" s="650"/>
      <c r="L147" s="650"/>
      <c r="M147" s="650"/>
      <c r="N147" s="650"/>
      <c r="O147" s="650"/>
      <c r="P147" s="650"/>
      <c r="Q147" s="650"/>
      <c r="R147" s="621"/>
      <c r="S147" s="621"/>
      <c r="T147" s="621"/>
      <c r="U147" s="621"/>
      <c r="V147" s="659"/>
      <c r="W147" s="622"/>
      <c r="X147" s="622"/>
      <c r="Y147" s="622"/>
      <c r="Z147" s="622"/>
      <c r="AA147" s="622"/>
      <c r="AB147" s="622"/>
      <c r="AC147" s="622"/>
      <c r="AD147" s="622"/>
      <c r="AE147" s="622"/>
      <c r="AF147" s="622"/>
      <c r="AG147" s="170"/>
    </row>
    <row r="148" spans="2:33" x14ac:dyDescent="0.35">
      <c r="B148" s="658"/>
      <c r="C148" s="650"/>
      <c r="D148" s="650"/>
      <c r="E148" s="650"/>
      <c r="F148" s="650"/>
      <c r="G148" s="650"/>
      <c r="H148" s="650"/>
      <c r="I148" s="650"/>
      <c r="J148" s="650"/>
      <c r="K148" s="650"/>
      <c r="L148" s="650"/>
      <c r="M148" s="650"/>
      <c r="N148" s="650"/>
      <c r="O148" s="650"/>
      <c r="P148" s="650"/>
      <c r="Q148" s="650"/>
      <c r="R148" s="621"/>
      <c r="S148" s="621"/>
      <c r="T148" s="621"/>
      <c r="U148" s="621"/>
      <c r="V148" s="659"/>
      <c r="W148" s="622"/>
      <c r="X148" s="622"/>
      <c r="Y148" s="622"/>
      <c r="Z148" s="622"/>
      <c r="AA148" s="622"/>
      <c r="AB148" s="622"/>
      <c r="AC148" s="622"/>
      <c r="AD148" s="622"/>
      <c r="AE148" s="622"/>
      <c r="AF148" s="622"/>
      <c r="AG148" s="170"/>
    </row>
    <row r="149" spans="2:33" x14ac:dyDescent="0.35">
      <c r="B149" s="667" t="s">
        <v>132</v>
      </c>
      <c r="C149" s="668" t="s">
        <v>399</v>
      </c>
      <c r="D149" s="668" t="s">
        <v>113</v>
      </c>
      <c r="E149" s="668" t="s">
        <v>401</v>
      </c>
      <c r="F149" s="668" t="s">
        <v>110</v>
      </c>
      <c r="G149" s="668" t="s">
        <v>111</v>
      </c>
      <c r="H149" s="668" t="s">
        <v>402</v>
      </c>
      <c r="I149" s="668" t="s">
        <v>115</v>
      </c>
      <c r="J149" s="668" t="s">
        <v>557</v>
      </c>
      <c r="K149" s="668" t="s">
        <v>116</v>
      </c>
      <c r="L149" s="668" t="s">
        <v>117</v>
      </c>
      <c r="M149" s="668" t="s">
        <v>118</v>
      </c>
      <c r="N149" s="668" t="s">
        <v>119</v>
      </c>
      <c r="O149" s="668" t="s">
        <v>120</v>
      </c>
      <c r="P149" s="650"/>
      <c r="Q149" s="650"/>
      <c r="R149" s="621"/>
      <c r="S149" s="621"/>
      <c r="T149" s="621"/>
      <c r="U149" s="621"/>
      <c r="V149" s="659"/>
      <c r="W149" s="622"/>
      <c r="X149" s="622"/>
      <c r="Y149" s="622"/>
      <c r="Z149" s="622"/>
      <c r="AA149" s="622"/>
      <c r="AB149" s="622"/>
      <c r="AC149" s="622"/>
      <c r="AD149" s="622"/>
      <c r="AE149" s="622"/>
      <c r="AF149" s="622"/>
      <c r="AG149" s="170"/>
    </row>
    <row r="150" spans="2:33" x14ac:dyDescent="0.35">
      <c r="B150" s="669">
        <f>IF(C150="","",Tables!A6)</f>
        <v>1</v>
      </c>
      <c r="C150" s="647">
        <f>IF(D150="","",Tables!B6)</f>
        <v>62</v>
      </c>
      <c r="D150" s="647">
        <f>IF(HLOOKUP($C$135,Tables!$A$1:$H$23,ROW()-143)=0,"",HLOOKUP($C$135,Tables!$A$1:$H$23,ROW()-143))</f>
        <v>0.111</v>
      </c>
      <c r="E150" s="647" t="e">
        <f>IF(D150="","",((65-C150)/(65-$G$139))*$G$137*$G$140)</f>
        <v>#VALUE!</v>
      </c>
      <c r="F150" s="647" t="e">
        <f>IF(D150="","",IF(OR(C150&gt;=45,C150&lt;=17),$C$49+((($C$43-$C$49)*(C150-17))/(47-17)),$C$49+((($C$46-$C$49)*(C150-17))/(35-17))))</f>
        <v>#VALUE!</v>
      </c>
      <c r="G150" s="647" t="e">
        <f>IF(D150="","",MIN(E150/F150,1))</f>
        <v>#VALUE!</v>
      </c>
      <c r="H150" s="647">
        <f>IF(D150="","",IF(OR(C150&gt;=45,C150&lt;=17),$I$49+((($I$43-$I$49)*(C150-17))/(47-17)),$I$49+((($I$46-$I$49)*(C150-17))/(35-17))))</f>
        <v>0</v>
      </c>
      <c r="I150" s="647" t="e">
        <f>IF(D150="","",F150/(3.413*H150))</f>
        <v>#VALUE!</v>
      </c>
      <c r="J150" s="647" t="e">
        <f>IF(D150="","",IF(OR(C150&lt;=$C$140,I150&lt;1),0,IF(AND(C150&gt;$C$140,C150&lt;=$C$138,I150&gt;=1),0.5,1)))</f>
        <v>#VALUE!</v>
      </c>
      <c r="K150" s="647" t="e">
        <f>IF(D150="","",1-$C$146*(1-G150))</f>
        <v>#VALUE!</v>
      </c>
      <c r="L150" s="647" t="e">
        <f>IF(D150="","",((G150*H150*J150)/K150)*D150)</f>
        <v>#VALUE!</v>
      </c>
      <c r="M150" s="647" t="e">
        <f>IF(D150="","",((E150-(G150*F150*J150))/3.413)*D150)</f>
        <v>#VALUE!</v>
      </c>
      <c r="N150" s="647" t="e">
        <f>IF(D150="","",E150*D150)</f>
        <v>#VALUE!</v>
      </c>
      <c r="O150" s="647">
        <f>IF(D150="","",IF('General Info and Test Results'!$C$32="Yes",1+0.03*(1-((MAX('H2 Test Recorded Data'!$D$11,1.5)-1.5)/(MIN('H2 Test Recorded Data'!$D$12,12)-1.5))),1))</f>
        <v>1</v>
      </c>
      <c r="P150" s="650"/>
      <c r="Q150" s="650"/>
      <c r="R150" s="621"/>
      <c r="S150" s="621"/>
      <c r="T150" s="621"/>
      <c r="U150" s="621"/>
      <c r="V150" s="659"/>
      <c r="W150" s="622"/>
      <c r="X150" s="622"/>
      <c r="Y150" s="622"/>
      <c r="Z150" s="622"/>
      <c r="AA150" s="622"/>
      <c r="AB150" s="622"/>
      <c r="AC150" s="622"/>
      <c r="AD150" s="622"/>
      <c r="AE150" s="622"/>
      <c r="AF150" s="622"/>
      <c r="AG150" s="170"/>
    </row>
    <row r="151" spans="2:33" x14ac:dyDescent="0.35">
      <c r="B151" s="669">
        <f>IF(C151="","",Tables!A7)</f>
        <v>2</v>
      </c>
      <c r="C151" s="647">
        <f>IF(D151="","",Tables!B7)</f>
        <v>57</v>
      </c>
      <c r="D151" s="647">
        <f>IF(HLOOKUP($C$135,Tables!$A$1:$H$23,ROW()-143)=0,"",HLOOKUP($C$135,Tables!$A$1:$H$23,ROW()-143))</f>
        <v>0.10299999999999999</v>
      </c>
      <c r="E151" s="647" t="e">
        <f t="shared" ref="E151:E166" si="34">IF(D151="","",((65-C151)/(65-$G$139))*$G$137*$G$140)</f>
        <v>#VALUE!</v>
      </c>
      <c r="F151" s="647" t="e">
        <f t="shared" ref="F151:F167" si="35">IF(D151="","",IF(OR(C151&gt;=45,C151&lt;=17),$C$49+((($C$43-$C$49)*(C151-17))/(47-17)),$C$49+((($C$46-$C$49)*(C151-17))/(35-17))))</f>
        <v>#VALUE!</v>
      </c>
      <c r="G151" s="647" t="e">
        <f t="shared" ref="G151:G167" si="36">IF(D151="","",MIN(E151/F151,1))</f>
        <v>#VALUE!</v>
      </c>
      <c r="H151" s="647">
        <f t="shared" ref="H151:H167" si="37">IF(D151="","",IF(OR(C151&gt;=45,C151&lt;=17),$I$49+((($I$43-$I$49)*(C151-17))/(47-17)),$I$49+((($I$46-$I$49)*(C151-17))/(35-17))))</f>
        <v>0</v>
      </c>
      <c r="I151" s="647" t="e">
        <f t="shared" ref="I151:I167" si="38">IF(D151="","",F151/(3.413*H151))</f>
        <v>#VALUE!</v>
      </c>
      <c r="J151" s="647" t="e">
        <f t="shared" ref="J151:J166" si="39">IF(D151="","",IF(OR(C151&lt;=$C$140,I151&lt;1),0,IF(AND(C151&gt;$C$140,C151&lt;=$C$138,I151&gt;=1),0.5,1)))</f>
        <v>#VALUE!</v>
      </c>
      <c r="K151" s="647" t="e">
        <f t="shared" ref="K151:K167" si="40">IF(D151="","",1-$C$146*(1-G151))</f>
        <v>#VALUE!</v>
      </c>
      <c r="L151" s="647" t="e">
        <f t="shared" ref="L151:L167" si="41">IF(D151="","",((G151*H151*J151)/K151)*D151)</f>
        <v>#VALUE!</v>
      </c>
      <c r="M151" s="647" t="e">
        <f t="shared" ref="M151:M167" si="42">IF(D151="","",((E151-(G151*F151*J151))/3.413)*D151)</f>
        <v>#VALUE!</v>
      </c>
      <c r="N151" s="647" t="e">
        <f>IF(D151="","",E151*D151)</f>
        <v>#VALUE!</v>
      </c>
      <c r="O151" s="647">
        <f>IF(D151="","",IF('General Info and Test Results'!$C$32="Yes",1+0.03*(1-((MAX('H2 Test Recorded Data'!$D$11,1.5)-1.5)/(MIN('H1 Test Recorded Data'!#REF!,12)-1.5))),1))</f>
        <v>1</v>
      </c>
      <c r="P151" s="650"/>
      <c r="Q151" s="650"/>
      <c r="R151" s="621"/>
      <c r="S151" s="621"/>
      <c r="T151" s="621"/>
      <c r="U151" s="621"/>
      <c r="V151" s="659"/>
      <c r="W151" s="622"/>
      <c r="X151" s="622"/>
      <c r="Y151" s="622"/>
      <c r="Z151" s="622"/>
      <c r="AA151" s="622"/>
      <c r="AB151" s="622"/>
      <c r="AC151" s="622"/>
      <c r="AD151" s="622"/>
      <c r="AE151" s="622"/>
      <c r="AF151" s="622"/>
      <c r="AG151" s="170"/>
    </row>
    <row r="152" spans="2:33" x14ac:dyDescent="0.35">
      <c r="B152" s="669">
        <f>IF(C152="","",Tables!A8)</f>
        <v>3</v>
      </c>
      <c r="C152" s="647">
        <f>IF(D152="","",Tables!B8)</f>
        <v>52</v>
      </c>
      <c r="D152" s="647">
        <f>IF(HLOOKUP($C$135,Tables!$A$1:$H$23,ROW()-143)=0,"",HLOOKUP($C$135,Tables!$A$1:$H$23,ROW()-143))</f>
        <v>9.2999999999999999E-2</v>
      </c>
      <c r="E152" s="647" t="e">
        <f t="shared" si="34"/>
        <v>#VALUE!</v>
      </c>
      <c r="F152" s="647" t="e">
        <f t="shared" si="35"/>
        <v>#VALUE!</v>
      </c>
      <c r="G152" s="647" t="e">
        <f t="shared" si="36"/>
        <v>#VALUE!</v>
      </c>
      <c r="H152" s="647">
        <f t="shared" si="37"/>
        <v>0</v>
      </c>
      <c r="I152" s="647" t="e">
        <f t="shared" si="38"/>
        <v>#VALUE!</v>
      </c>
      <c r="J152" s="647" t="e">
        <f t="shared" si="39"/>
        <v>#VALUE!</v>
      </c>
      <c r="K152" s="647" t="e">
        <f t="shared" si="40"/>
        <v>#VALUE!</v>
      </c>
      <c r="L152" s="647" t="e">
        <f t="shared" si="41"/>
        <v>#VALUE!</v>
      </c>
      <c r="M152" s="647" t="e">
        <f t="shared" si="42"/>
        <v>#VALUE!</v>
      </c>
      <c r="N152" s="647" t="e">
        <f t="shared" ref="N152:N167" si="43">IF(D152="","",E152*D152)</f>
        <v>#VALUE!</v>
      </c>
      <c r="O152" s="647">
        <f>IF(D152="","",IF('General Info and Test Results'!$C$32="Yes",1+0.03*(1-((MAX('H2 Test Recorded Data'!$D$11,1.5)-1.5)/(MIN('H1 Test Recorded Data'!#REF!,12)-1.5))),1))</f>
        <v>1</v>
      </c>
      <c r="P152" s="650"/>
      <c r="Q152" s="650"/>
      <c r="R152" s="621"/>
      <c r="S152" s="621"/>
      <c r="T152" s="621"/>
      <c r="U152" s="621"/>
      <c r="V152" s="659"/>
      <c r="W152" s="622"/>
      <c r="X152" s="622"/>
      <c r="Y152" s="622"/>
      <c r="Z152" s="622"/>
      <c r="AA152" s="622"/>
      <c r="AB152" s="622"/>
      <c r="AC152" s="622"/>
      <c r="AD152" s="622"/>
      <c r="AE152" s="622"/>
      <c r="AF152" s="622"/>
      <c r="AG152" s="170"/>
    </row>
    <row r="153" spans="2:33" x14ac:dyDescent="0.35">
      <c r="B153" s="669">
        <f>IF(C153="","",Tables!A9)</f>
        <v>4</v>
      </c>
      <c r="C153" s="647">
        <f>IF(D153="","",Tables!B9)</f>
        <v>47</v>
      </c>
      <c r="D153" s="647">
        <f>IF(HLOOKUP($C$135,Tables!$A$1:$H$23,ROW()-143)=0,"",HLOOKUP($C$135,Tables!$A$1:$H$23,ROW()-143))</f>
        <v>0.1</v>
      </c>
      <c r="E153" s="647" t="e">
        <f t="shared" si="34"/>
        <v>#VALUE!</v>
      </c>
      <c r="F153" s="647" t="e">
        <f t="shared" si="35"/>
        <v>#VALUE!</v>
      </c>
      <c r="G153" s="647" t="e">
        <f t="shared" si="36"/>
        <v>#VALUE!</v>
      </c>
      <c r="H153" s="647">
        <f t="shared" si="37"/>
        <v>0</v>
      </c>
      <c r="I153" s="647" t="e">
        <f t="shared" si="38"/>
        <v>#VALUE!</v>
      </c>
      <c r="J153" s="647" t="e">
        <f t="shared" si="39"/>
        <v>#VALUE!</v>
      </c>
      <c r="K153" s="647" t="e">
        <f t="shared" si="40"/>
        <v>#VALUE!</v>
      </c>
      <c r="L153" s="647" t="e">
        <f t="shared" si="41"/>
        <v>#VALUE!</v>
      </c>
      <c r="M153" s="647" t="e">
        <f t="shared" si="42"/>
        <v>#VALUE!</v>
      </c>
      <c r="N153" s="647" t="e">
        <f t="shared" si="43"/>
        <v>#VALUE!</v>
      </c>
      <c r="O153" s="647">
        <f>IF(D153="","",IF('General Info and Test Results'!$C$32="Yes",1+0.03*(1-((MAX('H2 Test Recorded Data'!$D$11,1.5)-1.5)/(MIN('H1 Test Recorded Data'!#REF!,12)-1.5))),1))</f>
        <v>1</v>
      </c>
      <c r="P153" s="650"/>
      <c r="Q153" s="650"/>
      <c r="R153" s="621"/>
      <c r="S153" s="621"/>
      <c r="T153" s="621"/>
      <c r="U153" s="621"/>
      <c r="V153" s="659"/>
      <c r="W153" s="622"/>
      <c r="X153" s="622"/>
      <c r="Y153" s="622"/>
      <c r="Z153" s="622"/>
      <c r="AA153" s="622"/>
      <c r="AB153" s="622"/>
      <c r="AC153" s="622"/>
      <c r="AD153" s="622"/>
      <c r="AE153" s="622"/>
      <c r="AF153" s="622"/>
      <c r="AG153" s="170"/>
    </row>
    <row r="154" spans="2:33" x14ac:dyDescent="0.35">
      <c r="B154" s="669">
        <f>IF(C154="","",Tables!A10)</f>
        <v>5</v>
      </c>
      <c r="C154" s="647">
        <f>IF(D154="","",Tables!B10)</f>
        <v>42</v>
      </c>
      <c r="D154" s="647">
        <f>IF(HLOOKUP($C$135,Tables!$A$1:$H$23,ROW()-143)=0,"",HLOOKUP($C$135,Tables!$A$1:$H$23,ROW()-143))</f>
        <v>0.109</v>
      </c>
      <c r="E154" s="647" t="e">
        <f t="shared" si="34"/>
        <v>#VALUE!</v>
      </c>
      <c r="F154" s="647" t="e">
        <f t="shared" si="35"/>
        <v>#VALUE!</v>
      </c>
      <c r="G154" s="647" t="e">
        <f t="shared" si="36"/>
        <v>#VALUE!</v>
      </c>
      <c r="H154" s="647">
        <f t="shared" si="37"/>
        <v>0</v>
      </c>
      <c r="I154" s="647" t="e">
        <f t="shared" si="38"/>
        <v>#VALUE!</v>
      </c>
      <c r="J154" s="647" t="e">
        <f t="shared" si="39"/>
        <v>#VALUE!</v>
      </c>
      <c r="K154" s="647" t="e">
        <f t="shared" si="40"/>
        <v>#VALUE!</v>
      </c>
      <c r="L154" s="647" t="e">
        <f t="shared" si="41"/>
        <v>#VALUE!</v>
      </c>
      <c r="M154" s="647" t="e">
        <f t="shared" si="42"/>
        <v>#VALUE!</v>
      </c>
      <c r="N154" s="647" t="e">
        <f t="shared" si="43"/>
        <v>#VALUE!</v>
      </c>
      <c r="O154" s="647">
        <f>IF(D154="","",IF('General Info and Test Results'!$C$32="Yes",1+0.03*(1-((MAX('H2 Test Recorded Data'!$D$11,1.5)-1.5)/(MIN('H1 Test Recorded Data'!#REF!,12)-1.5))),1))</f>
        <v>1</v>
      </c>
      <c r="P154" s="650"/>
      <c r="Q154" s="650"/>
      <c r="R154" s="621"/>
      <c r="S154" s="621"/>
      <c r="T154" s="621"/>
      <c r="U154" s="621"/>
      <c r="V154" s="659"/>
      <c r="W154" s="622"/>
      <c r="X154" s="622"/>
      <c r="Y154" s="622"/>
      <c r="Z154" s="622"/>
      <c r="AA154" s="622"/>
      <c r="AB154" s="622"/>
      <c r="AC154" s="622"/>
      <c r="AD154" s="622"/>
      <c r="AE154" s="622"/>
      <c r="AF154" s="622"/>
      <c r="AG154" s="170"/>
    </row>
    <row r="155" spans="2:33" x14ac:dyDescent="0.35">
      <c r="B155" s="669">
        <f>IF(C155="","",Tables!A11)</f>
        <v>6</v>
      </c>
      <c r="C155" s="647">
        <f>IF(D155="","",Tables!B11)</f>
        <v>37</v>
      </c>
      <c r="D155" s="647">
        <f>IF(HLOOKUP($C$135,Tables!$A$1:$H$23,ROW()-143)=0,"",HLOOKUP($C$135,Tables!$A$1:$H$23,ROW()-143))</f>
        <v>0.126</v>
      </c>
      <c r="E155" s="647" t="e">
        <f t="shared" si="34"/>
        <v>#VALUE!</v>
      </c>
      <c r="F155" s="647" t="e">
        <f t="shared" si="35"/>
        <v>#VALUE!</v>
      </c>
      <c r="G155" s="647" t="e">
        <f t="shared" si="36"/>
        <v>#VALUE!</v>
      </c>
      <c r="H155" s="647">
        <f t="shared" si="37"/>
        <v>0</v>
      </c>
      <c r="I155" s="647" t="e">
        <f t="shared" si="38"/>
        <v>#VALUE!</v>
      </c>
      <c r="J155" s="647" t="e">
        <f t="shared" si="39"/>
        <v>#VALUE!</v>
      </c>
      <c r="K155" s="647" t="e">
        <f t="shared" si="40"/>
        <v>#VALUE!</v>
      </c>
      <c r="L155" s="647" t="e">
        <f t="shared" si="41"/>
        <v>#VALUE!</v>
      </c>
      <c r="M155" s="647" t="e">
        <f t="shared" si="42"/>
        <v>#VALUE!</v>
      </c>
      <c r="N155" s="647" t="e">
        <f t="shared" si="43"/>
        <v>#VALUE!</v>
      </c>
      <c r="O155" s="647">
        <f>IF(D155="","",IF('General Info and Test Results'!$C$32="Yes",1+0.03*(1-((MAX('H2 Test Recorded Data'!$D$11,1.5)-1.5)/(MIN('H1 Test Recorded Data'!#REF!,12)-1.5))),1))</f>
        <v>1</v>
      </c>
      <c r="P155" s="650"/>
      <c r="Q155" s="650"/>
      <c r="R155" s="621"/>
      <c r="S155" s="621"/>
      <c r="T155" s="621"/>
      <c r="U155" s="621"/>
      <c r="V155" s="659"/>
      <c r="W155" s="622"/>
      <c r="X155" s="622"/>
      <c r="Y155" s="622"/>
      <c r="Z155" s="622"/>
      <c r="AA155" s="622"/>
      <c r="AB155" s="622"/>
      <c r="AC155" s="622"/>
      <c r="AD155" s="622"/>
      <c r="AE155" s="622"/>
      <c r="AF155" s="622"/>
      <c r="AG155" s="170"/>
    </row>
    <row r="156" spans="2:33" x14ac:dyDescent="0.35">
      <c r="B156" s="669">
        <f>IF(C156="","",Tables!A12)</f>
        <v>7</v>
      </c>
      <c r="C156" s="647">
        <f>IF(D156="","",Tables!B12)</f>
        <v>32</v>
      </c>
      <c r="D156" s="647">
        <f>IF(HLOOKUP($C$135,Tables!$A$1:$H$23,ROW()-143)=0,"",HLOOKUP($C$135,Tables!$A$1:$H$23,ROW()-143))</f>
        <v>8.6999999999999994E-2</v>
      </c>
      <c r="E156" s="647" t="e">
        <f t="shared" si="34"/>
        <v>#VALUE!</v>
      </c>
      <c r="F156" s="647" t="e">
        <f t="shared" si="35"/>
        <v>#VALUE!</v>
      </c>
      <c r="G156" s="647" t="e">
        <f t="shared" si="36"/>
        <v>#VALUE!</v>
      </c>
      <c r="H156" s="647">
        <f t="shared" si="37"/>
        <v>0</v>
      </c>
      <c r="I156" s="647" t="e">
        <f t="shared" si="38"/>
        <v>#VALUE!</v>
      </c>
      <c r="J156" s="647" t="e">
        <f t="shared" si="39"/>
        <v>#VALUE!</v>
      </c>
      <c r="K156" s="647" t="e">
        <f t="shared" si="40"/>
        <v>#VALUE!</v>
      </c>
      <c r="L156" s="647" t="e">
        <f t="shared" si="41"/>
        <v>#VALUE!</v>
      </c>
      <c r="M156" s="647" t="e">
        <f t="shared" si="42"/>
        <v>#VALUE!</v>
      </c>
      <c r="N156" s="647" t="e">
        <f t="shared" si="43"/>
        <v>#VALUE!</v>
      </c>
      <c r="O156" s="647">
        <f>IF(D156="","",IF('General Info and Test Results'!$C$32="Yes",1+0.03*(1-((MAX('H2 Test Recorded Data'!$D$11,1.5)-1.5)/(MIN('H1 Test Recorded Data'!#REF!,12)-1.5))),1))</f>
        <v>1</v>
      </c>
      <c r="P156" s="650"/>
      <c r="Q156" s="650"/>
      <c r="R156" s="621"/>
      <c r="S156" s="621"/>
      <c r="T156" s="621"/>
      <c r="U156" s="621"/>
      <c r="V156" s="659"/>
      <c r="W156" s="622"/>
      <c r="X156" s="622"/>
      <c r="Y156" s="622"/>
      <c r="Z156" s="622"/>
      <c r="AA156" s="622"/>
      <c r="AB156" s="622"/>
      <c r="AC156" s="622"/>
      <c r="AD156" s="622"/>
      <c r="AE156" s="622"/>
      <c r="AF156" s="622"/>
      <c r="AG156" s="170"/>
    </row>
    <row r="157" spans="2:33" x14ac:dyDescent="0.35">
      <c r="B157" s="669">
        <f>IF(C157="","",Tables!A13)</f>
        <v>8</v>
      </c>
      <c r="C157" s="647">
        <f>IF(D157="","",Tables!B13)</f>
        <v>27</v>
      </c>
      <c r="D157" s="647">
        <f>IF(HLOOKUP($C$135,Tables!$A$1:$H$23,ROW()-143)=0,"",HLOOKUP($C$135,Tables!$A$1:$H$23,ROW()-143))</f>
        <v>5.5E-2</v>
      </c>
      <c r="E157" s="647" t="e">
        <f t="shared" si="34"/>
        <v>#VALUE!</v>
      </c>
      <c r="F157" s="647" t="e">
        <f t="shared" si="35"/>
        <v>#VALUE!</v>
      </c>
      <c r="G157" s="647" t="e">
        <f t="shared" si="36"/>
        <v>#VALUE!</v>
      </c>
      <c r="H157" s="647">
        <f t="shared" si="37"/>
        <v>0</v>
      </c>
      <c r="I157" s="647" t="e">
        <f t="shared" si="38"/>
        <v>#VALUE!</v>
      </c>
      <c r="J157" s="647" t="e">
        <f t="shared" si="39"/>
        <v>#VALUE!</v>
      </c>
      <c r="K157" s="647" t="e">
        <f t="shared" si="40"/>
        <v>#VALUE!</v>
      </c>
      <c r="L157" s="647" t="e">
        <f t="shared" si="41"/>
        <v>#VALUE!</v>
      </c>
      <c r="M157" s="647" t="e">
        <f t="shared" si="42"/>
        <v>#VALUE!</v>
      </c>
      <c r="N157" s="647" t="e">
        <f t="shared" si="43"/>
        <v>#VALUE!</v>
      </c>
      <c r="O157" s="647">
        <f>IF(D157="","",IF('General Info and Test Results'!$C$32="Yes",1+0.03*(1-((MAX('H2 Test Recorded Data'!$D$11,1.5)-1.5)/(MIN('H1 Test Recorded Data'!#REF!,12)-1.5))),1))</f>
        <v>1</v>
      </c>
      <c r="P157" s="650"/>
      <c r="Q157" s="650"/>
      <c r="R157" s="621"/>
      <c r="S157" s="621"/>
      <c r="T157" s="621"/>
      <c r="U157" s="621"/>
      <c r="V157" s="659"/>
      <c r="W157" s="622"/>
      <c r="X157" s="622"/>
      <c r="Y157" s="622"/>
      <c r="Z157" s="622"/>
      <c r="AA157" s="622"/>
      <c r="AB157" s="622"/>
      <c r="AC157" s="622"/>
      <c r="AD157" s="622"/>
      <c r="AE157" s="622"/>
      <c r="AF157" s="622"/>
      <c r="AG157" s="170"/>
    </row>
    <row r="158" spans="2:33" x14ac:dyDescent="0.35">
      <c r="B158" s="669">
        <f>IF(C158="","",Tables!A14)</f>
        <v>9</v>
      </c>
      <c r="C158" s="647">
        <f>IF(D158="","",Tables!B14)</f>
        <v>22</v>
      </c>
      <c r="D158" s="647">
        <f>IF(HLOOKUP($C$135,Tables!$A$1:$H$23,ROW()-143)=0,"",HLOOKUP($C$135,Tables!$A$1:$H$23,ROW()-143))</f>
        <v>3.5999999999999997E-2</v>
      </c>
      <c r="E158" s="647" t="e">
        <f t="shared" si="34"/>
        <v>#VALUE!</v>
      </c>
      <c r="F158" s="647" t="e">
        <f t="shared" si="35"/>
        <v>#VALUE!</v>
      </c>
      <c r="G158" s="647" t="e">
        <f t="shared" si="36"/>
        <v>#VALUE!</v>
      </c>
      <c r="H158" s="647">
        <f t="shared" si="37"/>
        <v>0</v>
      </c>
      <c r="I158" s="647" t="e">
        <f t="shared" si="38"/>
        <v>#VALUE!</v>
      </c>
      <c r="J158" s="647" t="e">
        <f t="shared" si="39"/>
        <v>#VALUE!</v>
      </c>
      <c r="K158" s="647" t="e">
        <f t="shared" si="40"/>
        <v>#VALUE!</v>
      </c>
      <c r="L158" s="647" t="e">
        <f t="shared" si="41"/>
        <v>#VALUE!</v>
      </c>
      <c r="M158" s="647" t="e">
        <f t="shared" si="42"/>
        <v>#VALUE!</v>
      </c>
      <c r="N158" s="647" t="e">
        <f t="shared" si="43"/>
        <v>#VALUE!</v>
      </c>
      <c r="O158" s="647">
        <f>IF(D158="","",IF('General Info and Test Results'!$C$32="Yes",1+0.03*(1-((MAX('H2 Test Recorded Data'!$D$11,1.5)-1.5)/(MIN('H1 Test Recorded Data'!#REF!,12)-1.5))),1))</f>
        <v>1</v>
      </c>
      <c r="P158" s="650"/>
      <c r="Q158" s="650"/>
      <c r="R158" s="621"/>
      <c r="S158" s="621"/>
      <c r="T158" s="621"/>
      <c r="U158" s="621"/>
      <c r="V158" s="659"/>
      <c r="W158" s="622"/>
      <c r="X158" s="622"/>
      <c r="Y158" s="622"/>
      <c r="Z158" s="622"/>
      <c r="AA158" s="622"/>
      <c r="AB158" s="622"/>
      <c r="AC158" s="622"/>
      <c r="AD158" s="622"/>
      <c r="AE158" s="622"/>
      <c r="AF158" s="622"/>
      <c r="AG158" s="170"/>
    </row>
    <row r="159" spans="2:33" x14ac:dyDescent="0.35">
      <c r="B159" s="669">
        <f>IF(C159="","",Tables!A15)</f>
        <v>10</v>
      </c>
      <c r="C159" s="647">
        <f>IF(D159="","",Tables!B15)</f>
        <v>17</v>
      </c>
      <c r="D159" s="647">
        <f>IF(HLOOKUP($C$135,Tables!$A$1:$H$23,ROW()-143)=0,"",HLOOKUP($C$135,Tables!$A$1:$H$23,ROW()-143))</f>
        <v>2.5999999999999999E-2</v>
      </c>
      <c r="E159" s="647" t="e">
        <f t="shared" si="34"/>
        <v>#VALUE!</v>
      </c>
      <c r="F159" s="647" t="e">
        <f t="shared" si="35"/>
        <v>#VALUE!</v>
      </c>
      <c r="G159" s="647" t="e">
        <f t="shared" si="36"/>
        <v>#VALUE!</v>
      </c>
      <c r="H159" s="647">
        <f t="shared" si="37"/>
        <v>0</v>
      </c>
      <c r="I159" s="647" t="e">
        <f t="shared" si="38"/>
        <v>#VALUE!</v>
      </c>
      <c r="J159" s="647" t="e">
        <f t="shared" si="39"/>
        <v>#VALUE!</v>
      </c>
      <c r="K159" s="647" t="e">
        <f t="shared" si="40"/>
        <v>#VALUE!</v>
      </c>
      <c r="L159" s="647" t="e">
        <f t="shared" si="41"/>
        <v>#VALUE!</v>
      </c>
      <c r="M159" s="647" t="e">
        <f t="shared" si="42"/>
        <v>#VALUE!</v>
      </c>
      <c r="N159" s="647" t="e">
        <f t="shared" si="43"/>
        <v>#VALUE!</v>
      </c>
      <c r="O159" s="647">
        <f>IF(D159="","",IF('General Info and Test Results'!$C$32="Yes",1+0.03*(1-((MAX('H2 Test Recorded Data'!$D$11,1.5)-1.5)/(MIN('H1 Test Recorded Data'!#REF!,12)-1.5))),1))</f>
        <v>1</v>
      </c>
      <c r="P159" s="650"/>
      <c r="Q159" s="650"/>
      <c r="R159" s="621"/>
      <c r="S159" s="621"/>
      <c r="T159" s="621"/>
      <c r="U159" s="621"/>
      <c r="V159" s="659"/>
      <c r="W159" s="622"/>
      <c r="X159" s="622"/>
      <c r="Y159" s="622"/>
      <c r="Z159" s="622"/>
      <c r="AA159" s="622"/>
      <c r="AB159" s="622"/>
      <c r="AC159" s="622"/>
      <c r="AD159" s="622"/>
      <c r="AE159" s="622"/>
      <c r="AF159" s="622"/>
      <c r="AG159" s="170"/>
    </row>
    <row r="160" spans="2:33" x14ac:dyDescent="0.35">
      <c r="B160" s="669">
        <f>IF(C160="","",Tables!A16)</f>
        <v>11</v>
      </c>
      <c r="C160" s="647">
        <f>IF(D160="","",Tables!B16)</f>
        <v>12</v>
      </c>
      <c r="D160" s="647">
        <f>IF(HLOOKUP($C$135,Tables!$A$1:$H$23,ROW()-143)=0,"",HLOOKUP($C$135,Tables!$A$1:$H$23,ROW()-143))</f>
        <v>1.2999999999999999E-2</v>
      </c>
      <c r="E160" s="647" t="e">
        <f t="shared" si="34"/>
        <v>#VALUE!</v>
      </c>
      <c r="F160" s="647" t="e">
        <f t="shared" si="35"/>
        <v>#VALUE!</v>
      </c>
      <c r="G160" s="647" t="e">
        <f t="shared" si="36"/>
        <v>#VALUE!</v>
      </c>
      <c r="H160" s="647">
        <f t="shared" si="37"/>
        <v>0</v>
      </c>
      <c r="I160" s="647" t="e">
        <f t="shared" si="38"/>
        <v>#VALUE!</v>
      </c>
      <c r="J160" s="647" t="e">
        <f t="shared" si="39"/>
        <v>#VALUE!</v>
      </c>
      <c r="K160" s="647" t="e">
        <f t="shared" si="40"/>
        <v>#VALUE!</v>
      </c>
      <c r="L160" s="647" t="e">
        <f t="shared" si="41"/>
        <v>#VALUE!</v>
      </c>
      <c r="M160" s="647" t="e">
        <f t="shared" si="42"/>
        <v>#VALUE!</v>
      </c>
      <c r="N160" s="647" t="e">
        <f t="shared" si="43"/>
        <v>#VALUE!</v>
      </c>
      <c r="O160" s="647">
        <f>IF(D160="","",IF('General Info and Test Results'!$C$32="Yes",1+0.03*(1-((MAX('H2 Test Recorded Data'!$D$11,1.5)-1.5)/(MIN('H1 Test Recorded Data'!#REF!,12)-1.5))),1))</f>
        <v>1</v>
      </c>
      <c r="P160" s="650"/>
      <c r="Q160" s="650"/>
      <c r="R160" s="621"/>
      <c r="S160" s="621"/>
      <c r="T160" s="621"/>
      <c r="U160" s="621"/>
      <c r="V160" s="659"/>
      <c r="W160" s="622"/>
      <c r="X160" s="622"/>
      <c r="Y160" s="622"/>
      <c r="Z160" s="622"/>
      <c r="AA160" s="622"/>
      <c r="AB160" s="622"/>
      <c r="AC160" s="622"/>
      <c r="AD160" s="622"/>
      <c r="AE160" s="622"/>
      <c r="AF160" s="622"/>
      <c r="AG160" s="170"/>
    </row>
    <row r="161" spans="2:33" x14ac:dyDescent="0.35">
      <c r="B161" s="669">
        <f>IF(C161="","",Tables!A17)</f>
        <v>12</v>
      </c>
      <c r="C161" s="647">
        <f>IF(D161="","",Tables!B17)</f>
        <v>7</v>
      </c>
      <c r="D161" s="647">
        <f>IF(HLOOKUP($C$135,Tables!$A$1:$H$23,ROW()-143)=0,"",HLOOKUP($C$135,Tables!$A$1:$H$23,ROW()-143))</f>
        <v>6.0000000000000001E-3</v>
      </c>
      <c r="E161" s="647" t="e">
        <f t="shared" si="34"/>
        <v>#VALUE!</v>
      </c>
      <c r="F161" s="647" t="e">
        <f t="shared" si="35"/>
        <v>#VALUE!</v>
      </c>
      <c r="G161" s="647" t="e">
        <f t="shared" si="36"/>
        <v>#VALUE!</v>
      </c>
      <c r="H161" s="647">
        <f t="shared" si="37"/>
        <v>0</v>
      </c>
      <c r="I161" s="647" t="e">
        <f t="shared" si="38"/>
        <v>#VALUE!</v>
      </c>
      <c r="J161" s="647" t="e">
        <f t="shared" si="39"/>
        <v>#VALUE!</v>
      </c>
      <c r="K161" s="647" t="e">
        <f t="shared" si="40"/>
        <v>#VALUE!</v>
      </c>
      <c r="L161" s="647" t="e">
        <f t="shared" si="41"/>
        <v>#VALUE!</v>
      </c>
      <c r="M161" s="647" t="e">
        <f t="shared" si="42"/>
        <v>#VALUE!</v>
      </c>
      <c r="N161" s="647" t="e">
        <f t="shared" si="43"/>
        <v>#VALUE!</v>
      </c>
      <c r="O161" s="647">
        <f>IF(D161="","",IF('General Info and Test Results'!$C$32="Yes",1+0.03*(1-((MAX('H2 Test Recorded Data'!$D$11,1.5)-1.5)/(MIN('H1 Test Recorded Data'!#REF!,12)-1.5))),1))</f>
        <v>1</v>
      </c>
      <c r="P161" s="650"/>
      <c r="Q161" s="650"/>
      <c r="R161" s="621"/>
      <c r="S161" s="621"/>
      <c r="T161" s="621"/>
      <c r="U161" s="621"/>
      <c r="V161" s="659"/>
      <c r="W161" s="622"/>
      <c r="X161" s="622"/>
      <c r="Y161" s="622"/>
      <c r="Z161" s="622"/>
      <c r="AA161" s="622"/>
      <c r="AB161" s="622"/>
      <c r="AC161" s="622"/>
      <c r="AD161" s="622"/>
      <c r="AE161" s="622"/>
      <c r="AF161" s="622"/>
      <c r="AG161" s="170"/>
    </row>
    <row r="162" spans="2:33" x14ac:dyDescent="0.35">
      <c r="B162" s="669">
        <f>IF(C162="","",Tables!A18)</f>
        <v>13</v>
      </c>
      <c r="C162" s="647">
        <f>IF(D162="","",Tables!B18)</f>
        <v>2</v>
      </c>
      <c r="D162" s="647">
        <f>IF(HLOOKUP($C$135,Tables!$A$1:$H$23,ROW()-143)=0,"",HLOOKUP($C$135,Tables!$A$1:$H$23,ROW()-143))</f>
        <v>2E-3</v>
      </c>
      <c r="E162" s="647" t="e">
        <f t="shared" si="34"/>
        <v>#VALUE!</v>
      </c>
      <c r="F162" s="647" t="e">
        <f t="shared" si="35"/>
        <v>#VALUE!</v>
      </c>
      <c r="G162" s="647" t="e">
        <f t="shared" si="36"/>
        <v>#VALUE!</v>
      </c>
      <c r="H162" s="647">
        <f t="shared" si="37"/>
        <v>0</v>
      </c>
      <c r="I162" s="647" t="e">
        <f t="shared" si="38"/>
        <v>#VALUE!</v>
      </c>
      <c r="J162" s="647" t="e">
        <f t="shared" si="39"/>
        <v>#VALUE!</v>
      </c>
      <c r="K162" s="647" t="e">
        <f t="shared" si="40"/>
        <v>#VALUE!</v>
      </c>
      <c r="L162" s="647" t="e">
        <f t="shared" si="41"/>
        <v>#VALUE!</v>
      </c>
      <c r="M162" s="647" t="e">
        <f t="shared" si="42"/>
        <v>#VALUE!</v>
      </c>
      <c r="N162" s="647" t="e">
        <f t="shared" si="43"/>
        <v>#VALUE!</v>
      </c>
      <c r="O162" s="647">
        <f>IF(D162="","",IF('General Info and Test Results'!$C$32="Yes",1+0.03*(1-((MAX('H2 Test Recorded Data'!$D$11,1.5)-1.5)/(MIN('H1 Test Recorded Data'!#REF!,12)-1.5))),1))</f>
        <v>1</v>
      </c>
      <c r="P162" s="650"/>
      <c r="Q162" s="650"/>
      <c r="R162" s="621"/>
      <c r="S162" s="621"/>
      <c r="T162" s="621"/>
      <c r="U162" s="621"/>
      <c r="V162" s="659"/>
      <c r="W162" s="622"/>
      <c r="X162" s="622"/>
      <c r="Y162" s="622"/>
      <c r="Z162" s="622"/>
      <c r="AA162" s="622"/>
      <c r="AB162" s="622"/>
      <c r="AC162" s="622"/>
      <c r="AD162" s="622"/>
      <c r="AE162" s="622"/>
      <c r="AF162" s="622"/>
      <c r="AG162" s="170"/>
    </row>
    <row r="163" spans="2:33" x14ac:dyDescent="0.35">
      <c r="B163" s="669">
        <f>IF(C163="","",Tables!A19)</f>
        <v>14</v>
      </c>
      <c r="C163" s="647">
        <f>IF(D163="","",Tables!B19)</f>
        <v>-3</v>
      </c>
      <c r="D163" s="647">
        <f>IF(HLOOKUP($C$135,Tables!$A$1:$H$23,ROW()-143)=0,"",HLOOKUP($C$135,Tables!$A$1:$H$23,ROW()-143))</f>
        <v>1E-3</v>
      </c>
      <c r="E163" s="647" t="e">
        <f t="shared" si="34"/>
        <v>#VALUE!</v>
      </c>
      <c r="F163" s="647" t="e">
        <f t="shared" si="35"/>
        <v>#VALUE!</v>
      </c>
      <c r="G163" s="647" t="e">
        <f t="shared" si="36"/>
        <v>#VALUE!</v>
      </c>
      <c r="H163" s="647">
        <f t="shared" si="37"/>
        <v>0</v>
      </c>
      <c r="I163" s="647" t="e">
        <f t="shared" si="38"/>
        <v>#VALUE!</v>
      </c>
      <c r="J163" s="647" t="e">
        <f t="shared" si="39"/>
        <v>#VALUE!</v>
      </c>
      <c r="K163" s="647" t="e">
        <f t="shared" si="40"/>
        <v>#VALUE!</v>
      </c>
      <c r="L163" s="647" t="e">
        <f t="shared" si="41"/>
        <v>#VALUE!</v>
      </c>
      <c r="M163" s="647" t="e">
        <f t="shared" si="42"/>
        <v>#VALUE!</v>
      </c>
      <c r="N163" s="647" t="e">
        <f t="shared" si="43"/>
        <v>#VALUE!</v>
      </c>
      <c r="O163" s="647">
        <f>IF(D163="","",IF('General Info and Test Results'!$C$32="Yes",1+0.03*(1-((MAX('H2 Test Recorded Data'!$D$11,1.5)-1.5)/(MIN('H1 Test Recorded Data'!#REF!,12)-1.5))),1))</f>
        <v>1</v>
      </c>
      <c r="P163" s="650"/>
      <c r="Q163" s="650"/>
      <c r="R163" s="621"/>
      <c r="S163" s="621"/>
      <c r="T163" s="621"/>
      <c r="U163" s="621"/>
      <c r="V163" s="659"/>
      <c r="W163" s="622"/>
      <c r="X163" s="622"/>
      <c r="Y163" s="622"/>
      <c r="Z163" s="622"/>
      <c r="AA163" s="622"/>
      <c r="AB163" s="622"/>
      <c r="AC163" s="622"/>
      <c r="AD163" s="622"/>
      <c r="AE163" s="622"/>
      <c r="AF163" s="622"/>
      <c r="AG163" s="170"/>
    </row>
    <row r="164" spans="2:33" x14ac:dyDescent="0.35">
      <c r="B164" s="669" t="str">
        <f>IF(C164="","",Tables!A20)</f>
        <v/>
      </c>
      <c r="C164" s="647" t="str">
        <f>IF(D164="","",Tables!B20)</f>
        <v/>
      </c>
      <c r="D164" s="647" t="str">
        <f>IF(HLOOKUP($C$135,Tables!$A$1:$H$23,ROW()-143)=0,"",HLOOKUP($C$135,Tables!$A$1:$H$23,ROW()-143))</f>
        <v/>
      </c>
      <c r="E164" s="647" t="str">
        <f t="shared" si="34"/>
        <v/>
      </c>
      <c r="F164" s="647" t="str">
        <f t="shared" si="35"/>
        <v/>
      </c>
      <c r="G164" s="647" t="str">
        <f t="shared" si="36"/>
        <v/>
      </c>
      <c r="H164" s="647" t="str">
        <f t="shared" si="37"/>
        <v/>
      </c>
      <c r="I164" s="647" t="str">
        <f t="shared" si="38"/>
        <v/>
      </c>
      <c r="J164" s="647" t="str">
        <f>IF(D164="","",IF(OR(C164&lt;=$C$140,I164&lt;1),0,IF(AND(C164&gt;$C$140,C164&lt;=$C$138,I164&gt;=1),0.5,1)))</f>
        <v/>
      </c>
      <c r="K164" s="647" t="str">
        <f t="shared" si="40"/>
        <v/>
      </c>
      <c r="L164" s="647" t="str">
        <f t="shared" si="41"/>
        <v/>
      </c>
      <c r="M164" s="647" t="str">
        <f t="shared" si="42"/>
        <v/>
      </c>
      <c r="N164" s="647" t="str">
        <f t="shared" si="43"/>
        <v/>
      </c>
      <c r="O164" s="647" t="str">
        <f>IF(D164="","",IF('General Info and Test Results'!$C$32="Yes",1+0.03*(1-((MAX('H2 Test Recorded Data'!$D$11,1.5)-1.5)/(MIN('H1 Test Recorded Data'!#REF!,12)-1.5))),1))</f>
        <v/>
      </c>
      <c r="P164" s="650"/>
      <c r="Q164" s="650"/>
      <c r="R164" s="621"/>
      <c r="S164" s="621"/>
      <c r="T164" s="621"/>
      <c r="U164" s="621"/>
      <c r="V164" s="659"/>
      <c r="W164" s="622"/>
      <c r="X164" s="622"/>
      <c r="Y164" s="622"/>
      <c r="Z164" s="622"/>
      <c r="AA164" s="622"/>
      <c r="AB164" s="622"/>
      <c r="AC164" s="622"/>
      <c r="AD164" s="622"/>
      <c r="AE164" s="622"/>
      <c r="AF164" s="622"/>
      <c r="AG164" s="170"/>
    </row>
    <row r="165" spans="2:33" x14ac:dyDescent="0.35">
      <c r="B165" s="669" t="str">
        <f>IF(C165="","",Tables!A21)</f>
        <v/>
      </c>
      <c r="C165" s="647" t="str">
        <f>IF(D165="","",Tables!B21)</f>
        <v/>
      </c>
      <c r="D165" s="647" t="str">
        <f>IF(HLOOKUP($C$135,Tables!$A$1:$H$23,ROW()-143)=0,"",HLOOKUP($C$135,Tables!$A$1:$H$23,ROW()-143))</f>
        <v/>
      </c>
      <c r="E165" s="647" t="str">
        <f t="shared" si="34"/>
        <v/>
      </c>
      <c r="F165" s="647" t="str">
        <f t="shared" si="35"/>
        <v/>
      </c>
      <c r="G165" s="647" t="str">
        <f t="shared" si="36"/>
        <v/>
      </c>
      <c r="H165" s="647" t="str">
        <f t="shared" si="37"/>
        <v/>
      </c>
      <c r="I165" s="647" t="str">
        <f t="shared" si="38"/>
        <v/>
      </c>
      <c r="J165" s="647" t="str">
        <f t="shared" si="39"/>
        <v/>
      </c>
      <c r="K165" s="647" t="str">
        <f t="shared" si="40"/>
        <v/>
      </c>
      <c r="L165" s="647" t="str">
        <f t="shared" si="41"/>
        <v/>
      </c>
      <c r="M165" s="647" t="str">
        <f t="shared" si="42"/>
        <v/>
      </c>
      <c r="N165" s="647" t="str">
        <f t="shared" si="43"/>
        <v/>
      </c>
      <c r="O165" s="647" t="str">
        <f>IF(D165="","",IF('General Info and Test Results'!$C$32="Yes",1+0.03*(1-((MAX('H2 Test Recorded Data'!$D$11,1.5)-1.5)/(MIN('H1 Test Recorded Data'!#REF!,12)-1.5))),1))</f>
        <v/>
      </c>
      <c r="P165" s="650"/>
      <c r="Q165" s="650"/>
      <c r="R165" s="621"/>
      <c r="S165" s="621"/>
      <c r="T165" s="621"/>
      <c r="U165" s="621"/>
      <c r="V165" s="659"/>
      <c r="W165" s="622"/>
      <c r="X165" s="622"/>
      <c r="Y165" s="622"/>
      <c r="Z165" s="622"/>
      <c r="AA165" s="622"/>
      <c r="AB165" s="622"/>
      <c r="AC165" s="622"/>
      <c r="AD165" s="622"/>
      <c r="AE165" s="622"/>
      <c r="AF165" s="622"/>
      <c r="AG165" s="170"/>
    </row>
    <row r="166" spans="2:33" x14ac:dyDescent="0.35">
      <c r="B166" s="669" t="str">
        <f>IF(C166="","",Tables!A22)</f>
        <v/>
      </c>
      <c r="C166" s="647" t="str">
        <f>IF(D166="","",Tables!B22)</f>
        <v/>
      </c>
      <c r="D166" s="647" t="str">
        <f>IF(HLOOKUP($C$135,Tables!$A$1:$H$23,ROW()-143)=0,"",HLOOKUP($C$135,Tables!$A$1:$H$23,ROW()-143))</f>
        <v/>
      </c>
      <c r="E166" s="647" t="str">
        <f t="shared" si="34"/>
        <v/>
      </c>
      <c r="F166" s="647" t="str">
        <f t="shared" si="35"/>
        <v/>
      </c>
      <c r="G166" s="647" t="str">
        <f t="shared" si="36"/>
        <v/>
      </c>
      <c r="H166" s="647" t="str">
        <f t="shared" si="37"/>
        <v/>
      </c>
      <c r="I166" s="647" t="str">
        <f t="shared" si="38"/>
        <v/>
      </c>
      <c r="J166" s="647" t="str">
        <f t="shared" si="39"/>
        <v/>
      </c>
      <c r="K166" s="647" t="str">
        <f t="shared" si="40"/>
        <v/>
      </c>
      <c r="L166" s="647" t="str">
        <f t="shared" si="41"/>
        <v/>
      </c>
      <c r="M166" s="647" t="str">
        <f t="shared" si="42"/>
        <v/>
      </c>
      <c r="N166" s="647" t="str">
        <f t="shared" si="43"/>
        <v/>
      </c>
      <c r="O166" s="647" t="str">
        <f>IF(D166="","",IF('General Info and Test Results'!$C$32="Yes",1+0.03*(1-((MAX('H2 Test Recorded Data'!$D$11,1.5)-1.5)/(MIN('H1 Test Recorded Data'!#REF!,12)-1.5))),1))</f>
        <v/>
      </c>
      <c r="P166" s="650"/>
      <c r="Q166" s="650"/>
      <c r="R166" s="621"/>
      <c r="S166" s="621"/>
      <c r="T166" s="621"/>
      <c r="U166" s="621"/>
      <c r="V166" s="659"/>
      <c r="W166" s="622"/>
      <c r="X166" s="622"/>
      <c r="Y166" s="622"/>
      <c r="Z166" s="622"/>
      <c r="AA166" s="622"/>
      <c r="AB166" s="622"/>
      <c r="AC166" s="622"/>
      <c r="AD166" s="622"/>
      <c r="AE166" s="622"/>
      <c r="AF166" s="622"/>
      <c r="AG166" s="170"/>
    </row>
    <row r="167" spans="2:33" x14ac:dyDescent="0.35">
      <c r="B167" s="669" t="e">
        <f>IF(C167="","",Tables!A23)</f>
        <v>#REF!</v>
      </c>
      <c r="C167" s="647" t="e">
        <f>IF(D167="","",Tables!B23)</f>
        <v>#REF!</v>
      </c>
      <c r="D167" s="647" t="e">
        <f>IF(HLOOKUP($C$135,Tables!$A$1:$H$23,ROW()-143)=0,"",HLOOKUP($C$135,Tables!$A$1:$H$23,ROW()-143))</f>
        <v>#REF!</v>
      </c>
      <c r="E167" s="647" t="e">
        <f>IF(D167="","",((65-C167)/(65-$G$139))*$G$137*$G$140)</f>
        <v>#REF!</v>
      </c>
      <c r="F167" s="647" t="e">
        <f t="shared" si="35"/>
        <v>#REF!</v>
      </c>
      <c r="G167" s="647" t="e">
        <f t="shared" si="36"/>
        <v>#REF!</v>
      </c>
      <c r="H167" s="647" t="e">
        <f t="shared" si="37"/>
        <v>#REF!</v>
      </c>
      <c r="I167" s="647" t="e">
        <f t="shared" si="38"/>
        <v>#REF!</v>
      </c>
      <c r="J167" s="647" t="e">
        <f>IF(D167="","",IF(OR(C167&lt;=$C$140,I167&lt;1),0,IF(AND(C167&gt;$C$140,C167&lt;=$C$138,I167&gt;=1),0.5,1)))</f>
        <v>#REF!</v>
      </c>
      <c r="K167" s="647" t="e">
        <f t="shared" si="40"/>
        <v>#REF!</v>
      </c>
      <c r="L167" s="647" t="e">
        <f t="shared" si="41"/>
        <v>#REF!</v>
      </c>
      <c r="M167" s="647" t="e">
        <f t="shared" si="42"/>
        <v>#REF!</v>
      </c>
      <c r="N167" s="647" t="e">
        <f t="shared" si="43"/>
        <v>#REF!</v>
      </c>
      <c r="O167" s="647" t="e">
        <f>IF(D167="","",IF('General Info and Test Results'!$C$32="Yes",1+0.03*(1-((MAX('H2 Test Recorded Data'!$D$11,1.5)-1.5)/(MIN('H1 Test Recorded Data'!#REF!,12)-1.5))),1))</f>
        <v>#REF!</v>
      </c>
      <c r="P167" s="650"/>
      <c r="Q167" s="650"/>
      <c r="R167" s="621"/>
      <c r="S167" s="621"/>
      <c r="T167" s="621"/>
      <c r="U167" s="621"/>
      <c r="V167" s="659"/>
      <c r="W167" s="622"/>
      <c r="X167" s="622"/>
      <c r="Y167" s="622"/>
      <c r="Z167" s="622"/>
      <c r="AA167" s="622"/>
      <c r="AB167" s="622"/>
      <c r="AC167" s="622"/>
      <c r="AD167" s="622"/>
      <c r="AE167" s="622"/>
      <c r="AF167" s="622"/>
      <c r="AG167" s="170"/>
    </row>
    <row r="168" spans="2:33" x14ac:dyDescent="0.35">
      <c r="B168" s="658"/>
      <c r="C168" s="650"/>
      <c r="D168" s="650"/>
      <c r="E168" s="650"/>
      <c r="F168" s="650"/>
      <c r="G168" s="650"/>
      <c r="H168" s="650"/>
      <c r="I168" s="650"/>
      <c r="J168" s="650"/>
      <c r="K168" s="650"/>
      <c r="L168" s="650"/>
      <c r="M168" s="650"/>
      <c r="N168" s="650"/>
      <c r="O168" s="650"/>
      <c r="P168" s="650"/>
      <c r="Q168" s="650"/>
      <c r="R168" s="621"/>
      <c r="S168" s="621"/>
      <c r="T168" s="621"/>
      <c r="U168" s="621"/>
      <c r="V168" s="659"/>
      <c r="W168" s="622"/>
      <c r="X168" s="622"/>
      <c r="Y168" s="622"/>
      <c r="Z168" s="622"/>
      <c r="AA168" s="622"/>
      <c r="AB168" s="622"/>
      <c r="AC168" s="622"/>
      <c r="AD168" s="622"/>
      <c r="AE168" s="622"/>
      <c r="AF168" s="622"/>
      <c r="AG168" s="170"/>
    </row>
    <row r="169" spans="2:33" x14ac:dyDescent="0.35">
      <c r="B169" s="698" t="s">
        <v>134</v>
      </c>
      <c r="C169" s="647" t="e">
        <f>SUM(L150:L167)</f>
        <v>#VALUE!</v>
      </c>
      <c r="D169" s="650"/>
      <c r="E169" s="650"/>
      <c r="F169" s="650"/>
      <c r="G169" s="650"/>
      <c r="H169" s="650"/>
      <c r="I169" s="650"/>
      <c r="J169" s="650"/>
      <c r="K169" s="650"/>
      <c r="L169" s="650"/>
      <c r="M169" s="650"/>
      <c r="N169" s="650"/>
      <c r="O169" s="650"/>
      <c r="P169" s="650"/>
      <c r="Q169" s="650"/>
      <c r="R169" s="621"/>
      <c r="S169" s="621"/>
      <c r="T169" s="621"/>
      <c r="U169" s="621"/>
      <c r="V169" s="659"/>
      <c r="W169" s="622"/>
      <c r="X169" s="622"/>
      <c r="Y169" s="622"/>
      <c r="Z169" s="622"/>
      <c r="AA169" s="622"/>
      <c r="AB169" s="622"/>
      <c r="AC169" s="622"/>
      <c r="AD169" s="622"/>
      <c r="AE169" s="622"/>
      <c r="AF169" s="622"/>
      <c r="AG169" s="170"/>
    </row>
    <row r="170" spans="2:33" x14ac:dyDescent="0.35">
      <c r="B170" s="698" t="s">
        <v>135</v>
      </c>
      <c r="C170" s="647" t="e">
        <f>SUM(M150:M167)</f>
        <v>#VALUE!</v>
      </c>
      <c r="D170" s="650"/>
      <c r="E170" s="650"/>
      <c r="F170" s="650"/>
      <c r="G170" s="650"/>
      <c r="H170" s="650"/>
      <c r="I170" s="650"/>
      <c r="J170" s="650"/>
      <c r="K170" s="650"/>
      <c r="L170" s="650"/>
      <c r="M170" s="650"/>
      <c r="N170" s="650"/>
      <c r="O170" s="650"/>
      <c r="P170" s="650"/>
      <c r="Q170" s="650"/>
      <c r="R170" s="621"/>
      <c r="S170" s="621"/>
      <c r="T170" s="621"/>
      <c r="U170" s="621"/>
      <c r="V170" s="659"/>
      <c r="W170" s="622"/>
      <c r="X170" s="622"/>
      <c r="Y170" s="622"/>
      <c r="Z170" s="622"/>
      <c r="AA170" s="622"/>
      <c r="AB170" s="622"/>
      <c r="AC170" s="622"/>
      <c r="AD170" s="622"/>
      <c r="AE170" s="622"/>
      <c r="AF170" s="622"/>
      <c r="AG170" s="170"/>
    </row>
    <row r="171" spans="2:33" x14ac:dyDescent="0.35">
      <c r="B171" s="698" t="s">
        <v>133</v>
      </c>
      <c r="C171" s="647" t="e">
        <f>SUM(N150:N167)</f>
        <v>#VALUE!</v>
      </c>
      <c r="D171" s="650"/>
      <c r="E171" s="650"/>
      <c r="F171" s="650"/>
      <c r="G171" s="650"/>
      <c r="H171" s="650"/>
      <c r="I171" s="650"/>
      <c r="J171" s="650"/>
      <c r="K171" s="650"/>
      <c r="L171" s="650"/>
      <c r="M171" s="650"/>
      <c r="N171" s="650"/>
      <c r="O171" s="650"/>
      <c r="P171" s="650"/>
      <c r="Q171" s="650"/>
      <c r="R171" s="621"/>
      <c r="S171" s="621"/>
      <c r="T171" s="621"/>
      <c r="U171" s="621"/>
      <c r="V171" s="659"/>
      <c r="W171" s="622"/>
      <c r="X171" s="622"/>
      <c r="Y171" s="622"/>
      <c r="Z171" s="622"/>
      <c r="AA171" s="622"/>
      <c r="AB171" s="622"/>
      <c r="AC171" s="622"/>
      <c r="AD171" s="622"/>
      <c r="AE171" s="622"/>
      <c r="AF171" s="622"/>
      <c r="AG171" s="170"/>
    </row>
    <row r="172" spans="2:33" ht="37.5" customHeight="1" thickBot="1" x14ac:dyDescent="0.4">
      <c r="B172" s="643"/>
      <c r="C172" s="741" t="s">
        <v>625</v>
      </c>
      <c r="D172" s="918" t="s">
        <v>626</v>
      </c>
      <c r="E172" s="918"/>
      <c r="F172" s="650"/>
      <c r="G172" s="681"/>
      <c r="H172" s="650"/>
      <c r="I172" s="650"/>
      <c r="J172" s="650"/>
      <c r="K172" s="650"/>
      <c r="L172" s="650"/>
      <c r="M172" s="650"/>
      <c r="N172" s="650"/>
      <c r="O172" s="650"/>
      <c r="P172" s="650"/>
      <c r="Q172" s="650"/>
      <c r="R172" s="621"/>
      <c r="S172" s="621"/>
      <c r="T172" s="621"/>
      <c r="U172" s="621"/>
      <c r="V172" s="659"/>
      <c r="W172" s="622"/>
      <c r="X172" s="622"/>
      <c r="Y172" s="622"/>
      <c r="Z172" s="622"/>
      <c r="AA172" s="622"/>
      <c r="AB172" s="622"/>
      <c r="AC172" s="622"/>
      <c r="AD172" s="622"/>
      <c r="AE172" s="622"/>
      <c r="AF172" s="622"/>
      <c r="AG172" s="170"/>
    </row>
    <row r="173" spans="2:33" ht="18.75" thickBot="1" x14ac:dyDescent="0.4">
      <c r="B173" s="665" t="s">
        <v>121</v>
      </c>
      <c r="C173" s="666" t="e">
        <f>(C171/(C169+C170))*O150</f>
        <v>#VALUE!</v>
      </c>
      <c r="D173" s="1040"/>
      <c r="E173" s="1040"/>
      <c r="F173" s="650"/>
      <c r="G173" s="650"/>
      <c r="H173" s="650"/>
      <c r="I173" s="650"/>
      <c r="J173" s="650"/>
      <c r="K173" s="650"/>
      <c r="L173" s="650"/>
      <c r="M173" s="650"/>
      <c r="N173" s="650"/>
      <c r="O173" s="650"/>
      <c r="P173" s="650"/>
      <c r="Q173" s="650"/>
      <c r="R173" s="621"/>
      <c r="S173" s="621"/>
      <c r="T173" s="621"/>
      <c r="U173" s="621"/>
      <c r="V173" s="659"/>
      <c r="W173" s="622"/>
      <c r="X173" s="622"/>
      <c r="Y173" s="622"/>
      <c r="Z173" s="622"/>
      <c r="AA173" s="622"/>
      <c r="AB173" s="622"/>
      <c r="AC173" s="622"/>
      <c r="AD173" s="622"/>
      <c r="AE173" s="622"/>
      <c r="AF173" s="622"/>
      <c r="AG173" s="170"/>
    </row>
    <row r="174" spans="2:33" ht="18.75" thickBot="1" x14ac:dyDescent="0.4">
      <c r="B174" s="658"/>
      <c r="C174" s="650"/>
      <c r="D174" s="650"/>
      <c r="E174" s="650"/>
      <c r="F174" s="650"/>
      <c r="G174" s="650"/>
      <c r="H174" s="650"/>
      <c r="I174" s="650"/>
      <c r="J174" s="650"/>
      <c r="K174" s="650"/>
      <c r="L174" s="650"/>
      <c r="M174" s="650"/>
      <c r="N174" s="650"/>
      <c r="O174" s="650"/>
      <c r="P174" s="650"/>
      <c r="Q174" s="650"/>
      <c r="R174" s="621"/>
      <c r="S174" s="621"/>
      <c r="T174" s="621"/>
      <c r="U174" s="621"/>
      <c r="V174" s="659"/>
      <c r="W174" s="622"/>
      <c r="X174" s="622"/>
      <c r="Y174" s="622"/>
      <c r="Z174" s="622"/>
      <c r="AA174" s="622"/>
      <c r="AB174" s="622"/>
      <c r="AC174" s="622"/>
      <c r="AD174" s="622"/>
      <c r="AE174" s="622"/>
      <c r="AF174" s="622"/>
      <c r="AG174" s="170"/>
    </row>
    <row r="175" spans="2:33" ht="18.75" thickBot="1" x14ac:dyDescent="0.4">
      <c r="B175" s="658"/>
      <c r="C175" s="650"/>
      <c r="D175" s="650"/>
      <c r="E175" s="650"/>
      <c r="F175" s="650"/>
      <c r="G175" s="650"/>
      <c r="H175" s="650"/>
      <c r="I175" s="650"/>
      <c r="J175" s="650"/>
      <c r="K175" s="650"/>
      <c r="L175" s="650"/>
      <c r="M175" s="650"/>
      <c r="N175" s="650"/>
      <c r="O175" s="650"/>
      <c r="P175" s="650"/>
      <c r="Q175" s="650"/>
      <c r="R175" s="621"/>
      <c r="S175" s="621"/>
      <c r="T175" s="621"/>
      <c r="U175" s="621"/>
      <c r="V175" s="659"/>
      <c r="W175" s="622"/>
      <c r="X175" s="622"/>
      <c r="Y175" s="642"/>
      <c r="Z175" s="699" t="s">
        <v>278</v>
      </c>
      <c r="AA175" s="700"/>
      <c r="AB175" s="700"/>
      <c r="AC175" s="700"/>
      <c r="AD175" s="700"/>
      <c r="AE175" s="701"/>
      <c r="AF175" s="622"/>
      <c r="AG175" s="170"/>
    </row>
    <row r="176" spans="2:33" ht="18" customHeight="1" x14ac:dyDescent="0.35">
      <c r="B176" s="702" t="s">
        <v>205</v>
      </c>
      <c r="C176" s="661"/>
      <c r="D176" s="661"/>
      <c r="E176" s="661"/>
      <c r="F176" s="661"/>
      <c r="G176" s="661"/>
      <c r="H176" s="661"/>
      <c r="I176" s="661"/>
      <c r="J176" s="661"/>
      <c r="K176" s="661"/>
      <c r="L176" s="661"/>
      <c r="M176" s="661"/>
      <c r="N176" s="661"/>
      <c r="O176" s="661"/>
      <c r="P176" s="661"/>
      <c r="Q176" s="661"/>
      <c r="R176" s="662"/>
      <c r="S176" s="621"/>
      <c r="T176" s="621"/>
      <c r="U176" s="621"/>
      <c r="V176" s="659"/>
      <c r="W176" s="622"/>
      <c r="X176" s="622"/>
      <c r="Y176" s="703"/>
      <c r="Z176" s="704"/>
      <c r="AA176" s="704"/>
      <c r="AB176" s="705"/>
      <c r="AC176" s="705"/>
      <c r="AD176" s="705"/>
      <c r="AE176" s="706"/>
      <c r="AF176" s="622"/>
      <c r="AG176" s="170"/>
    </row>
    <row r="177" spans="2:59" x14ac:dyDescent="0.35">
      <c r="B177" s="658"/>
      <c r="C177" s="650"/>
      <c r="D177" s="650"/>
      <c r="E177" s="650"/>
      <c r="F177" s="650"/>
      <c r="G177" s="650"/>
      <c r="H177" s="650"/>
      <c r="I177" s="650"/>
      <c r="J177" s="650"/>
      <c r="K177" s="650"/>
      <c r="L177" s="650"/>
      <c r="M177" s="650"/>
      <c r="N177" s="650"/>
      <c r="O177" s="650"/>
      <c r="P177" s="650"/>
      <c r="Q177" s="650"/>
      <c r="R177" s="621"/>
      <c r="S177" s="621"/>
      <c r="T177" s="621"/>
      <c r="U177" s="621"/>
      <c r="V177" s="659"/>
      <c r="W177" s="622"/>
      <c r="X177" s="622"/>
      <c r="Y177" s="707"/>
      <c r="Z177" s="708" t="s">
        <v>289</v>
      </c>
      <c r="AA177" s="709" t="e">
        <f>$C$44/AA178</f>
        <v>#VALUE!</v>
      </c>
      <c r="AB177" s="710"/>
      <c r="AC177" s="710"/>
      <c r="AD177" s="710"/>
      <c r="AE177" s="711"/>
      <c r="AF177" s="622"/>
      <c r="AG177" s="170"/>
    </row>
    <row r="178" spans="2:59" s="174" customFormat="1" x14ac:dyDescent="0.35">
      <c r="B178" s="691" t="s">
        <v>408</v>
      </c>
      <c r="C178" s="664">
        <f>IF(C53="", 0.25, ROUND(MIN(0.25,((1-(($C$53/(3.413*$I$53))/($C$44/(3.413*$I$44))))/(1-$C$53/($C$44*'Optional H1C Test Recorded Data'!D13)))),2))</f>
        <v>0.25</v>
      </c>
      <c r="D178" s="693"/>
      <c r="E178" s="712" t="s">
        <v>270</v>
      </c>
      <c r="F178" s="713"/>
      <c r="G178" s="693"/>
      <c r="H178" s="693"/>
      <c r="I178" s="693"/>
      <c r="J178" s="693"/>
      <c r="K178" s="693"/>
      <c r="L178" s="693"/>
      <c r="M178" s="693"/>
      <c r="N178" s="693"/>
      <c r="O178" s="693"/>
      <c r="P178" s="693"/>
      <c r="Q178" s="693"/>
      <c r="R178" s="694"/>
      <c r="S178" s="694"/>
      <c r="T178" s="694"/>
      <c r="U178" s="694"/>
      <c r="V178" s="714"/>
      <c r="W178" s="715"/>
      <c r="X178" s="715"/>
      <c r="Y178" s="716" t="s">
        <v>292</v>
      </c>
      <c r="Z178" s="710" t="s">
        <v>288</v>
      </c>
      <c r="AA178" s="717" t="e">
        <f>(($C$56-$C$44)/(62-47))</f>
        <v>#VALUE!</v>
      </c>
      <c r="AB178" s="710"/>
      <c r="AC178" s="710"/>
      <c r="AD178" s="710"/>
      <c r="AE178" s="711"/>
      <c r="AF178" s="715"/>
      <c r="AG178" s="176"/>
      <c r="AH178" s="175"/>
      <c r="AI178" s="175"/>
      <c r="AJ178" s="175"/>
      <c r="AK178" s="175"/>
      <c r="AL178" s="175"/>
      <c r="AM178" s="175"/>
      <c r="AN178" s="175"/>
      <c r="AO178" s="175"/>
      <c r="AP178" s="175"/>
      <c r="AQ178" s="175"/>
      <c r="AR178" s="175"/>
      <c r="AS178" s="175"/>
      <c r="AT178" s="175"/>
      <c r="AU178" s="175"/>
      <c r="AV178" s="175"/>
      <c r="AW178" s="175"/>
      <c r="AX178" s="175"/>
      <c r="AY178" s="175"/>
      <c r="AZ178" s="175"/>
      <c r="BA178" s="175"/>
      <c r="BB178" s="175"/>
      <c r="BC178" s="175"/>
      <c r="BD178" s="175"/>
      <c r="BE178" s="175"/>
      <c r="BF178" s="175"/>
      <c r="BG178" s="175"/>
    </row>
    <row r="179" spans="2:59" s="174" customFormat="1" x14ac:dyDescent="0.35">
      <c r="B179" s="718"/>
      <c r="C179" s="693"/>
      <c r="D179" s="693"/>
      <c r="E179" s="719" t="s">
        <v>269</v>
      </c>
      <c r="F179" s="713"/>
      <c r="G179" s="693"/>
      <c r="H179" s="693"/>
      <c r="I179" s="693"/>
      <c r="J179" s="693"/>
      <c r="K179" s="693"/>
      <c r="L179" s="693"/>
      <c r="M179" s="693"/>
      <c r="N179" s="693"/>
      <c r="O179" s="693"/>
      <c r="P179" s="693"/>
      <c r="Q179" s="693"/>
      <c r="R179" s="694"/>
      <c r="S179" s="694"/>
      <c r="T179" s="694"/>
      <c r="U179" s="694"/>
      <c r="V179" s="714"/>
      <c r="W179" s="715"/>
      <c r="X179" s="715"/>
      <c r="Y179" s="716" t="s">
        <v>290</v>
      </c>
      <c r="Z179" s="710" t="s">
        <v>287</v>
      </c>
      <c r="AA179" s="717" t="e">
        <f>($G$137*$G$140)/(65-$G$139)</f>
        <v>#VALUE!</v>
      </c>
      <c r="AB179" s="720"/>
      <c r="AC179" s="721" t="s">
        <v>286</v>
      </c>
      <c r="AD179" s="721" t="s">
        <v>285</v>
      </c>
      <c r="AE179" s="722" t="s">
        <v>284</v>
      </c>
      <c r="AF179" s="715"/>
      <c r="AG179" s="176"/>
      <c r="AH179" s="175"/>
      <c r="AI179" s="175"/>
      <c r="AJ179" s="175"/>
      <c r="AK179" s="175"/>
      <c r="AL179" s="175"/>
      <c r="AM179" s="175"/>
      <c r="AN179" s="175"/>
      <c r="AO179" s="175"/>
      <c r="AP179" s="175"/>
      <c r="AQ179" s="175"/>
      <c r="AR179" s="175"/>
      <c r="AS179" s="175"/>
      <c r="AT179" s="175"/>
      <c r="AU179" s="175"/>
      <c r="AV179" s="175"/>
      <c r="AW179" s="175"/>
      <c r="AX179" s="175"/>
      <c r="AY179" s="175"/>
      <c r="AZ179" s="175"/>
      <c r="BA179" s="175"/>
      <c r="BB179" s="175"/>
      <c r="BC179" s="175"/>
      <c r="BD179" s="175"/>
      <c r="BE179" s="175"/>
      <c r="BF179" s="175"/>
      <c r="BG179" s="175"/>
    </row>
    <row r="180" spans="2:59" s="174" customFormat="1" x14ac:dyDescent="0.35">
      <c r="B180" s="695"/>
      <c r="C180" s="693"/>
      <c r="D180" s="693"/>
      <c r="E180" s="693"/>
      <c r="F180" s="693"/>
      <c r="G180" s="693"/>
      <c r="H180" s="693"/>
      <c r="I180" s="693"/>
      <c r="J180" s="693"/>
      <c r="K180" s="693"/>
      <c r="L180" s="693"/>
      <c r="M180" s="693"/>
      <c r="N180" s="693"/>
      <c r="O180" s="693"/>
      <c r="P180" s="693"/>
      <c r="Q180" s="693"/>
      <c r="R180" s="694"/>
      <c r="S180" s="694"/>
      <c r="T180" s="694"/>
      <c r="U180" s="694"/>
      <c r="V180" s="714"/>
      <c r="W180" s="715"/>
      <c r="X180" s="714"/>
      <c r="Y180" s="710" t="s">
        <v>291</v>
      </c>
      <c r="Z180" s="710" t="s">
        <v>293</v>
      </c>
      <c r="AA180" s="723" t="e">
        <f>(($C$48-$C$51)/(35-17))</f>
        <v>#VALUE!</v>
      </c>
      <c r="AB180" s="720"/>
      <c r="AC180" s="724" t="e">
        <f>(47+65*($AA$179/$AA$178)-$AA$177)/(1+($AA$179/$AA$178))</f>
        <v>#VALUE!</v>
      </c>
      <c r="AD180" s="724" t="e">
        <f>IF(OR($AC$182&gt;=45,$AC$182&lt;=17),$AC$182,$AC$183)</f>
        <v>#VALUE!</v>
      </c>
      <c r="AE180" s="725" t="e">
        <f>((65*($AA$179))-$C$57+35*$AC$192)/(($AA$179)+$AC$192)</f>
        <v>#VALUE!</v>
      </c>
      <c r="AF180" s="715"/>
      <c r="AG180" s="176"/>
      <c r="AH180" s="175"/>
      <c r="AI180" s="175"/>
      <c r="AJ180" s="175"/>
      <c r="AK180" s="175"/>
      <c r="AL180" s="175"/>
      <c r="AM180" s="175"/>
      <c r="AN180" s="175"/>
      <c r="AO180" s="175"/>
      <c r="AP180" s="175"/>
      <c r="AQ180" s="175"/>
      <c r="AR180" s="175"/>
      <c r="AS180" s="175"/>
      <c r="AT180" s="175"/>
      <c r="AU180" s="175"/>
      <c r="AV180" s="175"/>
      <c r="AW180" s="175"/>
      <c r="AX180" s="175"/>
      <c r="AY180" s="175"/>
      <c r="AZ180" s="175"/>
      <c r="BA180" s="175"/>
      <c r="BB180" s="175"/>
      <c r="BC180" s="175"/>
      <c r="BD180" s="175"/>
      <c r="BE180" s="175"/>
      <c r="BF180" s="175"/>
      <c r="BG180" s="175"/>
    </row>
    <row r="181" spans="2:59" x14ac:dyDescent="0.35">
      <c r="B181" s="667" t="s">
        <v>132</v>
      </c>
      <c r="C181" s="668" t="s">
        <v>399</v>
      </c>
      <c r="D181" s="668" t="s">
        <v>113</v>
      </c>
      <c r="E181" s="668" t="s">
        <v>401</v>
      </c>
      <c r="F181" s="668" t="s">
        <v>266</v>
      </c>
      <c r="G181" s="668" t="s">
        <v>267</v>
      </c>
      <c r="H181" s="668" t="s">
        <v>110</v>
      </c>
      <c r="I181" s="668" t="s">
        <v>111</v>
      </c>
      <c r="J181" s="668" t="s">
        <v>271</v>
      </c>
      <c r="K181" s="668" t="s">
        <v>272</v>
      </c>
      <c r="L181" s="668" t="s">
        <v>402</v>
      </c>
      <c r="M181" s="668" t="s">
        <v>268</v>
      </c>
      <c r="N181" s="668" t="s">
        <v>115</v>
      </c>
      <c r="O181" s="668" t="s">
        <v>557</v>
      </c>
      <c r="P181" s="668" t="s">
        <v>116</v>
      </c>
      <c r="Q181" s="668" t="s">
        <v>117</v>
      </c>
      <c r="R181" s="668" t="s">
        <v>118</v>
      </c>
      <c r="S181" s="668" t="s">
        <v>119</v>
      </c>
      <c r="T181" s="668" t="s">
        <v>120</v>
      </c>
      <c r="U181" s="621"/>
      <c r="V181" s="659"/>
      <c r="W181" s="622"/>
      <c r="X181" s="622"/>
      <c r="Y181" s="726" t="s">
        <v>497</v>
      </c>
      <c r="Z181" s="727" t="s">
        <v>498</v>
      </c>
      <c r="AA181" s="728" t="e">
        <f>(($C$45-$C$51)/(47-17))</f>
        <v>#VALUE!</v>
      </c>
      <c r="AB181" s="710"/>
      <c r="AC181" s="710"/>
      <c r="AD181" s="710"/>
      <c r="AE181" s="711"/>
      <c r="AF181" s="622"/>
      <c r="AG181" s="170"/>
    </row>
    <row r="182" spans="2:59" x14ac:dyDescent="0.35">
      <c r="B182" s="669">
        <f>IF(C182="","",Tables!A6)</f>
        <v>1</v>
      </c>
      <c r="C182" s="647">
        <f>IF(D182="","",Tables!B6)</f>
        <v>62</v>
      </c>
      <c r="D182" s="647">
        <f>IF(HLOOKUP($C$135,Tables!$A$1:$H$23,ROW()-175)=0,"",HLOOKUP($C$135,Tables!$A$1:$H$23,ROW()-175))</f>
        <v>0.111</v>
      </c>
      <c r="E182" s="647" t="e">
        <f>IF(D182="","",((65-C182)/(65-$G$139))*$G$140*$G$137)</f>
        <v>#VALUE!</v>
      </c>
      <c r="F182" s="647" t="e">
        <f>IF(D182="","",IF(OR(C182&gt;=45,C182&lt;=17),$C$50+((($C$44-$C$50)*(C182-17))/(47-17)),$C$50+((($C$47-$C$50)*(C182-17))/(35-17))))</f>
        <v>#VALUE!</v>
      </c>
      <c r="G182" s="647" t="e">
        <f>IF(D182="","",IF(OR(C182&gt;=45,C182&lt;=17),$C$51+((($C$45-$C$51)*(C182-17))/(47-17)),$C$51+((($C$48-$C$51)*(C182-17))/(35-17))))</f>
        <v>#VALUE!</v>
      </c>
      <c r="H182" s="647" t="e">
        <f>IF(D182="","",F182+(((G182-F182)/($F$179-$F$178))*(M182-$F$178)))</f>
        <v>#VALUE!</v>
      </c>
      <c r="I182" s="647" t="e">
        <f t="shared" ref="I182:I199" si="44">IF(D182="","",MIN(E182/H182,1))</f>
        <v>#VALUE!</v>
      </c>
      <c r="J182" s="647">
        <f>IF(D182="","",IF(OR(C182&gt;=45,C182&lt;=17),$I$50+((($I$44-$I$50)*(C182-17))/(47-17)),$I$50+((($I$47-$I$50)*(C182-17))/(35-17))))</f>
        <v>0</v>
      </c>
      <c r="K182" s="647">
        <f t="shared" ref="K182:K199" si="45">IF(D182="","",IF(OR(C182&gt;=45,C182&lt;=17),$I$51+((($I$45-$I$51)*(C182-17))/(47-17)),$I$51+((($I$48-$I$51)*(C182-17))/(35-17))))</f>
        <v>0</v>
      </c>
      <c r="L182" s="647" t="e">
        <f>IF(D182="","",J182+(((K182-J182)/($F$179-$F$178))*(M182-$F$178)))</f>
        <v>#DIV/0!</v>
      </c>
      <c r="M182" s="729"/>
      <c r="N182" s="730" t="e">
        <f t="shared" ref="N182:N199" si="46">IF(D182="","",H182/(3.413*L182))</f>
        <v>#VALUE!</v>
      </c>
      <c r="O182" s="730" t="e">
        <f>IF(D182="","",IF(OR(C182&lt;=$C$140,N182&lt;1),0,IF(AND(C182&gt;$C$140,C182&lt;=$C$138,N182&gt;=1),0.5,1)))</f>
        <v>#VALUE!</v>
      </c>
      <c r="P182" s="647" t="e">
        <f>IF(D182="","",1-$C$178*(1-I182))</f>
        <v>#VALUE!</v>
      </c>
      <c r="Q182" s="647" t="e">
        <f>IF(D182="","",((I182*L182*O182)/P182)*D182)</f>
        <v>#VALUE!</v>
      </c>
      <c r="R182" s="647" t="e">
        <f>IF(D182="","",((E182-(I182*H182*O182))/3.413)*D182)</f>
        <v>#VALUE!</v>
      </c>
      <c r="S182" s="647" t="e">
        <f t="shared" ref="S182:S199" si="47">IF(D182="","",E182*D182)</f>
        <v>#VALUE!</v>
      </c>
      <c r="T182" s="647">
        <f>IF(D182="","",IF('General Info and Test Results'!$C$32="Yes",1+(0.03*(1-((MAX(1.5,'H2 Test Recorded Data'!$D$11)-1.5)/(MIN(12,'H2 Test Recorded Data'!$D$12)-1.5)))),1))</f>
        <v>1</v>
      </c>
      <c r="U182" s="621"/>
      <c r="V182" s="659"/>
      <c r="W182" s="622"/>
      <c r="X182" s="622"/>
      <c r="Y182" s="731"/>
      <c r="Z182" s="710"/>
      <c r="AA182" s="710"/>
      <c r="AB182" s="732" t="s">
        <v>558</v>
      </c>
      <c r="AC182" s="724" t="e">
        <f>(65*$AA$179-C51+$AA$181*17)/($AA$181+$AA$179)</f>
        <v>#VALUE!</v>
      </c>
      <c r="AD182" s="710"/>
      <c r="AE182" s="711"/>
      <c r="AF182" s="622"/>
      <c r="AG182" s="170"/>
    </row>
    <row r="183" spans="2:59" x14ac:dyDescent="0.35">
      <c r="B183" s="669">
        <f>IF(C183="","",Tables!A7)</f>
        <v>2</v>
      </c>
      <c r="C183" s="647">
        <f>IF(D183="","",Tables!B7)</f>
        <v>57</v>
      </c>
      <c r="D183" s="647">
        <f>IF(HLOOKUP($C$135,Tables!$A$1:$H$23,ROW()-175)=0,"",HLOOKUP($C$135,Tables!$A$1:$H$23,ROW()-175))</f>
        <v>0.10299999999999999</v>
      </c>
      <c r="E183" s="647" t="e">
        <f t="shared" ref="E183:E199" si="48">IF(D183="","",((65-C183)/(65-$G$139))*$G$140*$G$137)</f>
        <v>#VALUE!</v>
      </c>
      <c r="F183" s="647" t="e">
        <f t="shared" ref="F183:F199" si="49">IF(D183="","",IF(OR(C183&gt;=45,C183&lt;=17),$C$50+((($C$44-$C$50)*(C183-17))/(47-17)),$C$50+((($C$47-$C$50)*(C183-17))/(35-17))))</f>
        <v>#VALUE!</v>
      </c>
      <c r="G183" s="647" t="e">
        <f t="shared" ref="G183:G199" si="50">IF(D183="","",IF(OR(C183&gt;=45,C183&lt;=17),$C$51+((($C$45-$C$51)*(C183-17))/(47-17)),$C$51+((($C$48-$C$51)*(C183-17))/(35-17))))</f>
        <v>#VALUE!</v>
      </c>
      <c r="H183" s="647" t="e">
        <f t="shared" ref="H183:H199" si="51">IF(D183="","",F183+(((G183-F183)/($F$179-$F$178))*(M183-$F$178)))</f>
        <v>#VALUE!</v>
      </c>
      <c r="I183" s="647" t="e">
        <f t="shared" si="44"/>
        <v>#VALUE!</v>
      </c>
      <c r="J183" s="647">
        <f t="shared" ref="J183:J199" si="52">IF(D183="","",IF(OR(C183&gt;=45,C183&lt;=17),$I$50+((($I$44-$I$50)*(C183-17))/(47-17)),$I$50+((($I$47-$I$50)*(C183-17))/(35-17))))</f>
        <v>0</v>
      </c>
      <c r="K183" s="647">
        <f>IF(D183="","",IF(OR(C183&gt;=45,C183&lt;=17),$I$51+((($I$45-$I$51)*(C183-17))/(47-17)),$I$51+((($I$48-$I$51)*(C183-17))/(35-17))))</f>
        <v>0</v>
      </c>
      <c r="L183" s="647" t="e">
        <f t="shared" ref="L183:L199" si="53">IF(D183="","",J183+(((K183-J183)/($F$179-$F$178))*(M183-$F$178)))</f>
        <v>#DIV/0!</v>
      </c>
      <c r="M183" s="729"/>
      <c r="N183" s="730" t="e">
        <f t="shared" si="46"/>
        <v>#VALUE!</v>
      </c>
      <c r="O183" s="730" t="e">
        <f t="shared" ref="O183:O199" si="54">IF(D183="","",IF(OR(C183&lt;=$C$140,N183&lt;1),0,IF(AND(C183&gt;$C$140,C183&lt;=$C$138,N183&gt;=1),0.5,1)))</f>
        <v>#VALUE!</v>
      </c>
      <c r="P183" s="647" t="e">
        <f t="shared" ref="P183:P199" si="55">IF(D183="","",1-$C$178*(1-I183))</f>
        <v>#VALUE!</v>
      </c>
      <c r="Q183" s="647" t="e">
        <f t="shared" ref="Q183:Q199" si="56">IF(D183="","",((I183*L183*O183)/P183)*D183)</f>
        <v>#VALUE!</v>
      </c>
      <c r="R183" s="647" t="e">
        <f t="shared" ref="R183:R199" si="57">IF(D183="","",((E183-(I183*H183*O183))/3.413)*D183)</f>
        <v>#VALUE!</v>
      </c>
      <c r="S183" s="647" t="e">
        <f t="shared" si="47"/>
        <v>#VALUE!</v>
      </c>
      <c r="T183" s="647">
        <f>IF(D183="","",IF('General Info and Test Results'!$C$32="Yes",1+(0.03*(1-((MAX(1.5,'H2 Test Recorded Data'!$D$11)-1.5)/(MIN(12,'H2 Test Recorded Data'!$D$12)-1.5)))),1))</f>
        <v>1</v>
      </c>
      <c r="U183" s="621"/>
      <c r="V183" s="659"/>
      <c r="W183" s="622"/>
      <c r="X183" s="622"/>
      <c r="Y183" s="731"/>
      <c r="Z183" s="710"/>
      <c r="AA183" s="710"/>
      <c r="AB183" s="732" t="s">
        <v>496</v>
      </c>
      <c r="AC183" s="724" t="e">
        <f>(65*$AA$179+$AA$180*17-$C$51)/($AA$180+$AA$179)</f>
        <v>#VALUE!</v>
      </c>
      <c r="AD183" s="710"/>
      <c r="AE183" s="711"/>
      <c r="AF183" s="622"/>
      <c r="AG183" s="170"/>
    </row>
    <row r="184" spans="2:59" x14ac:dyDescent="0.35">
      <c r="B184" s="669">
        <f>IF(C184="","",Tables!A8)</f>
        <v>3</v>
      </c>
      <c r="C184" s="647">
        <f>IF(D184="","",Tables!B8)</f>
        <v>52</v>
      </c>
      <c r="D184" s="647">
        <f>IF(HLOOKUP($C$135,Tables!$A$1:$H$23,ROW()-175)=0,"",HLOOKUP($C$135,Tables!$A$1:$H$23,ROW()-175))</f>
        <v>9.2999999999999999E-2</v>
      </c>
      <c r="E184" s="647" t="e">
        <f t="shared" si="48"/>
        <v>#VALUE!</v>
      </c>
      <c r="F184" s="647" t="e">
        <f t="shared" si="49"/>
        <v>#VALUE!</v>
      </c>
      <c r="G184" s="647" t="e">
        <f t="shared" si="50"/>
        <v>#VALUE!</v>
      </c>
      <c r="H184" s="647" t="e">
        <f t="shared" si="51"/>
        <v>#VALUE!</v>
      </c>
      <c r="I184" s="647" t="e">
        <f t="shared" si="44"/>
        <v>#VALUE!</v>
      </c>
      <c r="J184" s="647">
        <f t="shared" si="52"/>
        <v>0</v>
      </c>
      <c r="K184" s="647">
        <f t="shared" si="45"/>
        <v>0</v>
      </c>
      <c r="L184" s="647" t="e">
        <f t="shared" si="53"/>
        <v>#DIV/0!</v>
      </c>
      <c r="M184" s="729"/>
      <c r="N184" s="730" t="e">
        <f t="shared" si="46"/>
        <v>#VALUE!</v>
      </c>
      <c r="O184" s="730" t="e">
        <f t="shared" si="54"/>
        <v>#VALUE!</v>
      </c>
      <c r="P184" s="647" t="e">
        <f>IF(D184="","",1-$C$178*(1-I184))</f>
        <v>#VALUE!</v>
      </c>
      <c r="Q184" s="647" t="e">
        <f t="shared" si="56"/>
        <v>#VALUE!</v>
      </c>
      <c r="R184" s="647" t="e">
        <f t="shared" si="57"/>
        <v>#VALUE!</v>
      </c>
      <c r="S184" s="647" t="e">
        <f t="shared" si="47"/>
        <v>#VALUE!</v>
      </c>
      <c r="T184" s="647">
        <f>IF(D184="","",IF('General Info and Test Results'!$C$32="Yes",1+(0.03*(1-((MAX(1.5,'H2 Test Recorded Data'!$D$11)-1.5)/(MIN(12,'H2 Test Recorded Data'!$D$12)-1.5)))),1))</f>
        <v>1</v>
      </c>
      <c r="U184" s="621"/>
      <c r="V184" s="659"/>
      <c r="W184" s="622"/>
      <c r="X184" s="622"/>
      <c r="Y184" s="731"/>
      <c r="Z184" s="710"/>
      <c r="AA184" s="710"/>
      <c r="AB184" s="710"/>
      <c r="AC184" s="710"/>
      <c r="AD184" s="710"/>
      <c r="AE184" s="711"/>
      <c r="AF184" s="622"/>
      <c r="AG184" s="170"/>
    </row>
    <row r="185" spans="2:59" x14ac:dyDescent="0.35">
      <c r="B185" s="669">
        <f>IF(C185="","",Tables!A9)</f>
        <v>4</v>
      </c>
      <c r="C185" s="647">
        <f>IF(D185="","",Tables!B9)</f>
        <v>47</v>
      </c>
      <c r="D185" s="647">
        <f>IF(HLOOKUP($C$135,Tables!$A$1:$H$23,ROW()-175)=0,"",HLOOKUP($C$135,Tables!$A$1:$H$23,ROW()-175))</f>
        <v>0.1</v>
      </c>
      <c r="E185" s="647" t="e">
        <f t="shared" si="48"/>
        <v>#VALUE!</v>
      </c>
      <c r="F185" s="647" t="e">
        <f t="shared" si="49"/>
        <v>#VALUE!</v>
      </c>
      <c r="G185" s="647" t="e">
        <f t="shared" si="50"/>
        <v>#VALUE!</v>
      </c>
      <c r="H185" s="647" t="e">
        <f t="shared" si="51"/>
        <v>#VALUE!</v>
      </c>
      <c r="I185" s="647" t="e">
        <f t="shared" si="44"/>
        <v>#VALUE!</v>
      </c>
      <c r="J185" s="647">
        <f t="shared" si="52"/>
        <v>0</v>
      </c>
      <c r="K185" s="647">
        <f t="shared" si="45"/>
        <v>0</v>
      </c>
      <c r="L185" s="647" t="e">
        <f t="shared" si="53"/>
        <v>#DIV/0!</v>
      </c>
      <c r="M185" s="729"/>
      <c r="N185" s="730" t="e">
        <f t="shared" si="46"/>
        <v>#VALUE!</v>
      </c>
      <c r="O185" s="730" t="e">
        <f t="shared" si="54"/>
        <v>#VALUE!</v>
      </c>
      <c r="P185" s="647" t="e">
        <f t="shared" si="55"/>
        <v>#VALUE!</v>
      </c>
      <c r="Q185" s="647" t="e">
        <f t="shared" si="56"/>
        <v>#VALUE!</v>
      </c>
      <c r="R185" s="647" t="e">
        <f t="shared" si="57"/>
        <v>#VALUE!</v>
      </c>
      <c r="S185" s="647" t="e">
        <f t="shared" si="47"/>
        <v>#VALUE!</v>
      </c>
      <c r="T185" s="647">
        <f>IF(D185="","",IF('General Info and Test Results'!$C$32="Yes",1+(0.03*(1-((MAX(1.5,'H2 Test Recorded Data'!$D$11)-1.5)/(MIN(12,'H2 Test Recorded Data'!$D$12)-1.5)))),1))</f>
        <v>1</v>
      </c>
      <c r="U185" s="621"/>
      <c r="V185" s="659"/>
      <c r="W185" s="622"/>
      <c r="X185" s="622"/>
      <c r="Y185" s="731"/>
      <c r="Z185" s="710"/>
      <c r="AA185" s="710"/>
      <c r="AB185" s="710"/>
      <c r="AC185" s="710"/>
      <c r="AD185" s="710"/>
      <c r="AE185" s="711"/>
      <c r="AF185" s="622"/>
      <c r="AG185" s="170"/>
    </row>
    <row r="186" spans="2:59" x14ac:dyDescent="0.35">
      <c r="B186" s="669">
        <f>IF(C186="","",Tables!A10)</f>
        <v>5</v>
      </c>
      <c r="C186" s="647">
        <f>IF(D186="","",Tables!B10)</f>
        <v>42</v>
      </c>
      <c r="D186" s="647">
        <f>IF(HLOOKUP($C$135,Tables!$A$1:$H$23,ROW()-175)=0,"",HLOOKUP($C$135,Tables!$A$1:$H$23,ROW()-175))</f>
        <v>0.109</v>
      </c>
      <c r="E186" s="647" t="e">
        <f t="shared" si="48"/>
        <v>#VALUE!</v>
      </c>
      <c r="F186" s="647" t="e">
        <f t="shared" si="49"/>
        <v>#VALUE!</v>
      </c>
      <c r="G186" s="647" t="e">
        <f t="shared" si="50"/>
        <v>#VALUE!</v>
      </c>
      <c r="H186" s="647" t="e">
        <f t="shared" si="51"/>
        <v>#VALUE!</v>
      </c>
      <c r="I186" s="647" t="e">
        <f t="shared" si="44"/>
        <v>#VALUE!</v>
      </c>
      <c r="J186" s="647">
        <f t="shared" si="52"/>
        <v>0</v>
      </c>
      <c r="K186" s="647">
        <f t="shared" si="45"/>
        <v>0</v>
      </c>
      <c r="L186" s="647" t="e">
        <f t="shared" si="53"/>
        <v>#DIV/0!</v>
      </c>
      <c r="M186" s="729"/>
      <c r="N186" s="730" t="e">
        <f t="shared" si="46"/>
        <v>#VALUE!</v>
      </c>
      <c r="O186" s="730" t="e">
        <f t="shared" si="54"/>
        <v>#VALUE!</v>
      </c>
      <c r="P186" s="647" t="e">
        <f t="shared" si="55"/>
        <v>#VALUE!</v>
      </c>
      <c r="Q186" s="647" t="e">
        <f t="shared" si="56"/>
        <v>#VALUE!</v>
      </c>
      <c r="R186" s="647" t="e">
        <f t="shared" si="57"/>
        <v>#VALUE!</v>
      </c>
      <c r="S186" s="647" t="e">
        <f t="shared" si="47"/>
        <v>#VALUE!</v>
      </c>
      <c r="T186" s="647">
        <f>IF(D186="","",IF('General Info and Test Results'!$C$32="Yes",1+(0.03*(1-((MAX(1.5,'H2 Test Recorded Data'!$D$11)-1.5)/(MIN(12,'H2 Test Recorded Data'!$D$12)-1.5)))),1))</f>
        <v>1</v>
      </c>
      <c r="U186" s="621"/>
      <c r="V186" s="659"/>
      <c r="W186" s="622"/>
      <c r="X186" s="622"/>
      <c r="Y186" s="731"/>
      <c r="Z186" s="710"/>
      <c r="AA186" s="710"/>
      <c r="AB186" s="710"/>
      <c r="AC186" s="710"/>
      <c r="AD186" s="710"/>
      <c r="AE186" s="711"/>
      <c r="AF186" s="622"/>
      <c r="AG186" s="170"/>
    </row>
    <row r="187" spans="2:59" x14ac:dyDescent="0.35">
      <c r="B187" s="669">
        <f>IF(C187="","",Tables!A11)</f>
        <v>6</v>
      </c>
      <c r="C187" s="647">
        <f>IF(D187="","",Tables!B11)</f>
        <v>37</v>
      </c>
      <c r="D187" s="647">
        <f>IF(HLOOKUP($C$135,Tables!$A$1:$H$23,ROW()-175)=0,"",HLOOKUP($C$135,Tables!$A$1:$H$23,ROW()-175))</f>
        <v>0.126</v>
      </c>
      <c r="E187" s="647" t="e">
        <f t="shared" si="48"/>
        <v>#VALUE!</v>
      </c>
      <c r="F187" s="647" t="e">
        <f t="shared" si="49"/>
        <v>#VALUE!</v>
      </c>
      <c r="G187" s="647" t="e">
        <f t="shared" si="50"/>
        <v>#VALUE!</v>
      </c>
      <c r="H187" s="647" t="e">
        <f t="shared" si="51"/>
        <v>#VALUE!</v>
      </c>
      <c r="I187" s="647" t="e">
        <f t="shared" si="44"/>
        <v>#VALUE!</v>
      </c>
      <c r="J187" s="647">
        <f t="shared" si="52"/>
        <v>0</v>
      </c>
      <c r="K187" s="647">
        <f t="shared" si="45"/>
        <v>0</v>
      </c>
      <c r="L187" s="647" t="e">
        <f t="shared" si="53"/>
        <v>#DIV/0!</v>
      </c>
      <c r="M187" s="729"/>
      <c r="N187" s="730" t="e">
        <f t="shared" si="46"/>
        <v>#VALUE!</v>
      </c>
      <c r="O187" s="730" t="e">
        <f t="shared" si="54"/>
        <v>#VALUE!</v>
      </c>
      <c r="P187" s="647" t="e">
        <f t="shared" si="55"/>
        <v>#VALUE!</v>
      </c>
      <c r="Q187" s="647" t="e">
        <f t="shared" si="56"/>
        <v>#VALUE!</v>
      </c>
      <c r="R187" s="647" t="e">
        <f t="shared" si="57"/>
        <v>#VALUE!</v>
      </c>
      <c r="S187" s="647" t="e">
        <f t="shared" si="47"/>
        <v>#VALUE!</v>
      </c>
      <c r="T187" s="647">
        <f>IF(D187="","",IF('General Info and Test Results'!$C$32="Yes",1+(0.03*(1-((MAX(1.5,'H2 Test Recorded Data'!$D$11)-1.5)/(MIN(12,'H2 Test Recorded Data'!$D$12)-1.5)))),1))</f>
        <v>1</v>
      </c>
      <c r="U187" s="621"/>
      <c r="V187" s="659"/>
      <c r="W187" s="622"/>
      <c r="X187" s="622"/>
      <c r="Y187" s="731"/>
      <c r="Z187" s="710"/>
      <c r="AA187" s="710"/>
      <c r="AB187" s="710"/>
      <c r="AC187" s="710"/>
      <c r="AD187" s="710"/>
      <c r="AE187" s="711"/>
      <c r="AF187" s="622"/>
      <c r="AG187" s="170"/>
    </row>
    <row r="188" spans="2:59" x14ac:dyDescent="0.35">
      <c r="B188" s="669">
        <f>IF(C188="","",Tables!A12)</f>
        <v>7</v>
      </c>
      <c r="C188" s="647">
        <f>IF(D188="","",Tables!B12)</f>
        <v>32</v>
      </c>
      <c r="D188" s="647">
        <f>IF(HLOOKUP($C$135,Tables!$A$1:$H$23,ROW()-175)=0,"",HLOOKUP($C$135,Tables!$A$1:$H$23,ROW()-175))</f>
        <v>8.6999999999999994E-2</v>
      </c>
      <c r="E188" s="647" t="e">
        <f t="shared" si="48"/>
        <v>#VALUE!</v>
      </c>
      <c r="F188" s="647" t="e">
        <f t="shared" si="49"/>
        <v>#VALUE!</v>
      </c>
      <c r="G188" s="647" t="e">
        <f t="shared" si="50"/>
        <v>#VALUE!</v>
      </c>
      <c r="H188" s="647" t="e">
        <f t="shared" si="51"/>
        <v>#VALUE!</v>
      </c>
      <c r="I188" s="647" t="e">
        <f t="shared" si="44"/>
        <v>#VALUE!</v>
      </c>
      <c r="J188" s="647">
        <f t="shared" si="52"/>
        <v>0</v>
      </c>
      <c r="K188" s="647">
        <f t="shared" si="45"/>
        <v>0</v>
      </c>
      <c r="L188" s="647" t="e">
        <f t="shared" si="53"/>
        <v>#DIV/0!</v>
      </c>
      <c r="M188" s="729"/>
      <c r="N188" s="730" t="e">
        <f t="shared" si="46"/>
        <v>#VALUE!</v>
      </c>
      <c r="O188" s="730" t="e">
        <f t="shared" si="54"/>
        <v>#VALUE!</v>
      </c>
      <c r="P188" s="647" t="e">
        <f t="shared" si="55"/>
        <v>#VALUE!</v>
      </c>
      <c r="Q188" s="647" t="e">
        <f t="shared" si="56"/>
        <v>#VALUE!</v>
      </c>
      <c r="R188" s="647" t="e">
        <f t="shared" si="57"/>
        <v>#VALUE!</v>
      </c>
      <c r="S188" s="647" t="e">
        <f t="shared" si="47"/>
        <v>#VALUE!</v>
      </c>
      <c r="T188" s="647">
        <f>IF(D188="","",IF('General Info and Test Results'!$C$32="Yes",1+(0.03*(1-((MAX(1.5,'H2 Test Recorded Data'!$D$11)-1.5)/(MIN(12,'H2 Test Recorded Data'!$D$12)-1.5)))),1))</f>
        <v>1</v>
      </c>
      <c r="U188" s="621"/>
      <c r="V188" s="659"/>
      <c r="W188" s="622"/>
      <c r="X188" s="622"/>
      <c r="Y188" s="731"/>
      <c r="Z188" s="710"/>
      <c r="AA188" s="710"/>
      <c r="AB188" s="710"/>
      <c r="AC188" s="710"/>
      <c r="AD188" s="710"/>
      <c r="AE188" s="711"/>
      <c r="AF188" s="622"/>
      <c r="AG188" s="170"/>
    </row>
    <row r="189" spans="2:59" x14ac:dyDescent="0.35">
      <c r="B189" s="669">
        <f>IF(C189="","",Tables!A13)</f>
        <v>8</v>
      </c>
      <c r="C189" s="647">
        <f>IF(D189="","",Tables!B13)</f>
        <v>27</v>
      </c>
      <c r="D189" s="647">
        <f>IF(HLOOKUP($C$135,Tables!$A$1:$H$23,ROW()-175)=0,"",HLOOKUP($C$135,Tables!$A$1:$H$23,ROW()-175))</f>
        <v>5.5E-2</v>
      </c>
      <c r="E189" s="647" t="e">
        <f t="shared" si="48"/>
        <v>#VALUE!</v>
      </c>
      <c r="F189" s="647" t="e">
        <f t="shared" si="49"/>
        <v>#VALUE!</v>
      </c>
      <c r="G189" s="647" t="e">
        <f t="shared" si="50"/>
        <v>#VALUE!</v>
      </c>
      <c r="H189" s="647" t="e">
        <f t="shared" si="51"/>
        <v>#VALUE!</v>
      </c>
      <c r="I189" s="647" t="e">
        <f t="shared" si="44"/>
        <v>#VALUE!</v>
      </c>
      <c r="J189" s="647">
        <f t="shared" si="52"/>
        <v>0</v>
      </c>
      <c r="K189" s="647">
        <f t="shared" si="45"/>
        <v>0</v>
      </c>
      <c r="L189" s="647" t="e">
        <f t="shared" si="53"/>
        <v>#DIV/0!</v>
      </c>
      <c r="M189" s="729"/>
      <c r="N189" s="730" t="e">
        <f t="shared" si="46"/>
        <v>#VALUE!</v>
      </c>
      <c r="O189" s="730" t="e">
        <f t="shared" si="54"/>
        <v>#VALUE!</v>
      </c>
      <c r="P189" s="647" t="e">
        <f t="shared" si="55"/>
        <v>#VALUE!</v>
      </c>
      <c r="Q189" s="647" t="e">
        <f t="shared" si="56"/>
        <v>#VALUE!</v>
      </c>
      <c r="R189" s="647" t="e">
        <f t="shared" si="57"/>
        <v>#VALUE!</v>
      </c>
      <c r="S189" s="647" t="e">
        <f t="shared" si="47"/>
        <v>#VALUE!</v>
      </c>
      <c r="T189" s="647">
        <f>IF(D189="","",IF('General Info and Test Results'!$C$32="Yes",1+(0.03*(1-((MAX(1.5,'H2 Test Recorded Data'!$D$11)-1.5)/(MIN(12,'H2 Test Recorded Data'!$D$12)-1.5)))),1))</f>
        <v>1</v>
      </c>
      <c r="U189" s="621"/>
      <c r="V189" s="659"/>
      <c r="W189" s="622"/>
      <c r="X189" s="622"/>
      <c r="Y189" s="731"/>
      <c r="Z189" s="710"/>
      <c r="AA189" s="710"/>
      <c r="AB189" s="710"/>
      <c r="AC189" s="710"/>
      <c r="AD189" s="710"/>
      <c r="AE189" s="711"/>
      <c r="AF189" s="622"/>
      <c r="AG189" s="170"/>
    </row>
    <row r="190" spans="2:59" x14ac:dyDescent="0.35">
      <c r="B190" s="669">
        <f>IF(C190="","",Tables!A14)</f>
        <v>9</v>
      </c>
      <c r="C190" s="647">
        <f>IF(D190="","",Tables!B14)</f>
        <v>22</v>
      </c>
      <c r="D190" s="647">
        <f>IF(HLOOKUP($C$135,Tables!$A$1:$H$23,ROW()-175)=0,"",HLOOKUP($C$135,Tables!$A$1:$H$23,ROW()-175))</f>
        <v>3.5999999999999997E-2</v>
      </c>
      <c r="E190" s="647" t="e">
        <f t="shared" si="48"/>
        <v>#VALUE!</v>
      </c>
      <c r="F190" s="647" t="e">
        <f t="shared" si="49"/>
        <v>#VALUE!</v>
      </c>
      <c r="G190" s="647" t="e">
        <f t="shared" si="50"/>
        <v>#VALUE!</v>
      </c>
      <c r="H190" s="647" t="e">
        <f t="shared" si="51"/>
        <v>#VALUE!</v>
      </c>
      <c r="I190" s="647" t="e">
        <f t="shared" si="44"/>
        <v>#VALUE!</v>
      </c>
      <c r="J190" s="647">
        <f t="shared" si="52"/>
        <v>0</v>
      </c>
      <c r="K190" s="647">
        <f t="shared" si="45"/>
        <v>0</v>
      </c>
      <c r="L190" s="647" t="e">
        <f t="shared" si="53"/>
        <v>#DIV/0!</v>
      </c>
      <c r="M190" s="729"/>
      <c r="N190" s="730" t="e">
        <f t="shared" si="46"/>
        <v>#VALUE!</v>
      </c>
      <c r="O190" s="730" t="e">
        <f t="shared" si="54"/>
        <v>#VALUE!</v>
      </c>
      <c r="P190" s="647" t="e">
        <f t="shared" si="55"/>
        <v>#VALUE!</v>
      </c>
      <c r="Q190" s="647" t="e">
        <f t="shared" si="56"/>
        <v>#VALUE!</v>
      </c>
      <c r="R190" s="647" t="e">
        <f t="shared" si="57"/>
        <v>#VALUE!</v>
      </c>
      <c r="S190" s="647" t="e">
        <f t="shared" si="47"/>
        <v>#VALUE!</v>
      </c>
      <c r="T190" s="647">
        <f>IF(D190="","",IF('General Info and Test Results'!$C$32="Yes",1+(0.03*(1-((MAX(1.5,'H2 Test Recorded Data'!$D$11)-1.5)/(MIN(12,'H2 Test Recorded Data'!$D$12)-1.5)))),1))</f>
        <v>1</v>
      </c>
      <c r="U190" s="621"/>
      <c r="V190" s="659"/>
      <c r="W190" s="622"/>
      <c r="X190" s="622"/>
      <c r="Y190" s="731"/>
      <c r="Z190" s="710"/>
      <c r="AA190" s="710"/>
      <c r="AB190" s="710"/>
      <c r="AC190" s="710"/>
      <c r="AD190" s="710"/>
      <c r="AE190" s="711"/>
      <c r="AF190" s="622"/>
      <c r="AG190" s="170"/>
    </row>
    <row r="191" spans="2:59" x14ac:dyDescent="0.35">
      <c r="B191" s="669">
        <f>IF(C191="","",Tables!A15)</f>
        <v>10</v>
      </c>
      <c r="C191" s="647">
        <f>IF(D191="","",Tables!B15)</f>
        <v>17</v>
      </c>
      <c r="D191" s="647">
        <f>IF(HLOOKUP($C$135,Tables!$A$1:$H$23,ROW()-175)=0,"",HLOOKUP($C$135,Tables!$A$1:$H$23,ROW()-175))</f>
        <v>2.5999999999999999E-2</v>
      </c>
      <c r="E191" s="647" t="e">
        <f t="shared" si="48"/>
        <v>#VALUE!</v>
      </c>
      <c r="F191" s="647" t="e">
        <f t="shared" si="49"/>
        <v>#VALUE!</v>
      </c>
      <c r="G191" s="647" t="e">
        <f t="shared" si="50"/>
        <v>#VALUE!</v>
      </c>
      <c r="H191" s="647" t="e">
        <f t="shared" si="51"/>
        <v>#VALUE!</v>
      </c>
      <c r="I191" s="647" t="e">
        <f t="shared" si="44"/>
        <v>#VALUE!</v>
      </c>
      <c r="J191" s="647">
        <f t="shared" si="52"/>
        <v>0</v>
      </c>
      <c r="K191" s="647">
        <f t="shared" si="45"/>
        <v>0</v>
      </c>
      <c r="L191" s="647" t="e">
        <f t="shared" si="53"/>
        <v>#DIV/0!</v>
      </c>
      <c r="M191" s="729"/>
      <c r="N191" s="730" t="e">
        <f t="shared" si="46"/>
        <v>#VALUE!</v>
      </c>
      <c r="O191" s="730" t="e">
        <f t="shared" si="54"/>
        <v>#VALUE!</v>
      </c>
      <c r="P191" s="647" t="e">
        <f t="shared" si="55"/>
        <v>#VALUE!</v>
      </c>
      <c r="Q191" s="647" t="e">
        <f t="shared" si="56"/>
        <v>#VALUE!</v>
      </c>
      <c r="R191" s="647" t="e">
        <f t="shared" si="57"/>
        <v>#VALUE!</v>
      </c>
      <c r="S191" s="647" t="e">
        <f t="shared" si="47"/>
        <v>#VALUE!</v>
      </c>
      <c r="T191" s="647">
        <f>IF(D191="","",IF('General Info and Test Results'!$C$32="Yes",1+(0.03*(1-((MAX(1.5,'H2 Test Recorded Data'!$D$11)-1.5)/(MIN(12,'H2 Test Recorded Data'!$D$12)-1.5)))),1))</f>
        <v>1</v>
      </c>
      <c r="U191" s="621"/>
      <c r="V191" s="659"/>
      <c r="W191" s="622"/>
      <c r="X191" s="622"/>
      <c r="Y191" s="731"/>
      <c r="Z191" s="710" t="s">
        <v>257</v>
      </c>
      <c r="AA191" s="710"/>
      <c r="AB191" s="710"/>
      <c r="AC191" s="710"/>
      <c r="AD191" s="710"/>
      <c r="AE191" s="711"/>
      <c r="AF191" s="622"/>
      <c r="AG191" s="170"/>
    </row>
    <row r="192" spans="2:59" x14ac:dyDescent="0.35">
      <c r="B192" s="669">
        <f>IF(C192="","",Tables!A16)</f>
        <v>11</v>
      </c>
      <c r="C192" s="647">
        <f>IF(D192="","",Tables!B16)</f>
        <v>12</v>
      </c>
      <c r="D192" s="647">
        <f>IF(HLOOKUP($C$135,Tables!$A$1:$H$23,ROW()-175)=0,"",HLOOKUP($C$135,Tables!$A$1:$H$23,ROW()-175))</f>
        <v>1.2999999999999999E-2</v>
      </c>
      <c r="E192" s="647" t="e">
        <f t="shared" si="48"/>
        <v>#VALUE!</v>
      </c>
      <c r="F192" s="647" t="e">
        <f t="shared" si="49"/>
        <v>#VALUE!</v>
      </c>
      <c r="G192" s="647" t="e">
        <f t="shared" si="50"/>
        <v>#VALUE!</v>
      </c>
      <c r="H192" s="647" t="e">
        <f t="shared" si="51"/>
        <v>#VALUE!</v>
      </c>
      <c r="I192" s="647" t="e">
        <f t="shared" si="44"/>
        <v>#VALUE!</v>
      </c>
      <c r="J192" s="647">
        <f t="shared" si="52"/>
        <v>0</v>
      </c>
      <c r="K192" s="647">
        <f t="shared" si="45"/>
        <v>0</v>
      </c>
      <c r="L192" s="647" t="e">
        <f t="shared" si="53"/>
        <v>#DIV/0!</v>
      </c>
      <c r="M192" s="729"/>
      <c r="N192" s="730" t="e">
        <f t="shared" si="46"/>
        <v>#VALUE!</v>
      </c>
      <c r="O192" s="730" t="e">
        <f t="shared" si="54"/>
        <v>#VALUE!</v>
      </c>
      <c r="P192" s="647" t="e">
        <f t="shared" si="55"/>
        <v>#VALUE!</v>
      </c>
      <c r="Q192" s="647" t="e">
        <f t="shared" si="56"/>
        <v>#VALUE!</v>
      </c>
      <c r="R192" s="647" t="e">
        <f t="shared" si="57"/>
        <v>#VALUE!</v>
      </c>
      <c r="S192" s="647" t="e">
        <f t="shared" si="47"/>
        <v>#VALUE!</v>
      </c>
      <c r="T192" s="647">
        <f>IF(D192="","",IF('General Info and Test Results'!$C$32="Yes",1+(0.03*(1-((MAX(1.5,'H2 Test Recorded Data'!$D$11)-1.5)/(MIN(12,'H2 Test Recorded Data'!$D$12)-1.5)))),1))</f>
        <v>1</v>
      </c>
      <c r="U192" s="621"/>
      <c r="V192" s="659"/>
      <c r="W192" s="622"/>
      <c r="X192" s="622"/>
      <c r="Y192" s="731"/>
      <c r="Z192" s="721" t="s">
        <v>255</v>
      </c>
      <c r="AA192" s="724" t="e">
        <f>($AC$180^2-$AD$180^2)/($AE$180^2-$AD$180^2)</f>
        <v>#VALUE!</v>
      </c>
      <c r="AB192" s="721" t="s">
        <v>250</v>
      </c>
      <c r="AC192" s="724" t="e">
        <f>((($C$56-$C$44)/(62-47))*(1-$AC$194))+($AC$194*(($C$48-$C$51)/(35-17)))</f>
        <v>#VALUE!</v>
      </c>
      <c r="AD192" s="721" t="s">
        <v>281</v>
      </c>
      <c r="AE192" s="733" t="e">
        <f>$C$44+(($C$56-$C$44)/(62-47))*(35-47)</f>
        <v>#VALUE!</v>
      </c>
      <c r="AF192" s="622"/>
      <c r="AG192" s="170"/>
    </row>
    <row r="193" spans="2:33" x14ac:dyDescent="0.35">
      <c r="B193" s="669">
        <f>IF(C193="","",Tables!A17)</f>
        <v>12</v>
      </c>
      <c r="C193" s="647">
        <f>IF(D193="","",Tables!B17)</f>
        <v>7</v>
      </c>
      <c r="D193" s="647">
        <f>IF(HLOOKUP($C$135,Tables!$A$1:$H$23,ROW()-175)=0,"",HLOOKUP($C$135,Tables!$A$1:$H$23,ROW()-175))</f>
        <v>6.0000000000000001E-3</v>
      </c>
      <c r="E193" s="647" t="e">
        <f t="shared" si="48"/>
        <v>#VALUE!</v>
      </c>
      <c r="F193" s="647" t="e">
        <f t="shared" si="49"/>
        <v>#VALUE!</v>
      </c>
      <c r="G193" s="647" t="e">
        <f t="shared" si="50"/>
        <v>#VALUE!</v>
      </c>
      <c r="H193" s="647" t="e">
        <f t="shared" si="51"/>
        <v>#VALUE!</v>
      </c>
      <c r="I193" s="647" t="e">
        <f t="shared" si="44"/>
        <v>#VALUE!</v>
      </c>
      <c r="J193" s="647">
        <f t="shared" si="52"/>
        <v>0</v>
      </c>
      <c r="K193" s="647">
        <f t="shared" si="45"/>
        <v>0</v>
      </c>
      <c r="L193" s="647" t="e">
        <f t="shared" si="53"/>
        <v>#DIV/0!</v>
      </c>
      <c r="M193" s="729"/>
      <c r="N193" s="730" t="e">
        <f t="shared" si="46"/>
        <v>#VALUE!</v>
      </c>
      <c r="O193" s="730" t="e">
        <f t="shared" si="54"/>
        <v>#VALUE!</v>
      </c>
      <c r="P193" s="647" t="e">
        <f t="shared" si="55"/>
        <v>#VALUE!</v>
      </c>
      <c r="Q193" s="647" t="e">
        <f t="shared" si="56"/>
        <v>#VALUE!</v>
      </c>
      <c r="R193" s="647" t="e">
        <f t="shared" si="57"/>
        <v>#VALUE!</v>
      </c>
      <c r="S193" s="647" t="e">
        <f t="shared" si="47"/>
        <v>#VALUE!</v>
      </c>
      <c r="T193" s="647">
        <f>IF(D193="","",IF('General Info and Test Results'!$C$32="Yes",1+(0.03*(1-((MAX(1.5,'H2 Test Recorded Data'!$D$11)-1.5)/(MIN(12,'H2 Test Recorded Data'!$D$12)-1.5)))),1))</f>
        <v>1</v>
      </c>
      <c r="U193" s="621"/>
      <c r="V193" s="659"/>
      <c r="W193" s="622"/>
      <c r="X193" s="622"/>
      <c r="Y193" s="731"/>
      <c r="Z193" s="721" t="s">
        <v>197</v>
      </c>
      <c r="AA193" s="724" t="e">
        <f>($AB$199-$AB$197-($AA$192*($AB$199-$AB$198)))/($AD$180-$AC$180-($AA$192*($AD$180-$AE$180)))</f>
        <v>#VALUE!</v>
      </c>
      <c r="AB193" s="721" t="s">
        <v>249</v>
      </c>
      <c r="AC193" s="724" t="e">
        <f>((($I$56-$I$44)/(62-47))*(1-$AC$195))+($AC$195*(($I$48-$I$51)/(35-17)))</f>
        <v>#DIV/0!</v>
      </c>
      <c r="AD193" s="721" t="s">
        <v>282</v>
      </c>
      <c r="AE193" s="733">
        <f>$I$44+(($I$56-$I$44)/(62-47))*(35-47)</f>
        <v>0</v>
      </c>
      <c r="AF193" s="622"/>
      <c r="AG193" s="170"/>
    </row>
    <row r="194" spans="2:33" x14ac:dyDescent="0.35">
      <c r="B194" s="669">
        <f>IF(C194="","",Tables!A18)</f>
        <v>13</v>
      </c>
      <c r="C194" s="647">
        <f>IF(D194="","",Tables!B18)</f>
        <v>2</v>
      </c>
      <c r="D194" s="647">
        <f>IF(HLOOKUP($C$135,Tables!$A$1:$H$23,ROW()-175)=0,"",HLOOKUP($C$135,Tables!$A$1:$H$23,ROW()-175))</f>
        <v>2E-3</v>
      </c>
      <c r="E194" s="647" t="e">
        <f t="shared" si="48"/>
        <v>#VALUE!</v>
      </c>
      <c r="F194" s="647" t="e">
        <f t="shared" si="49"/>
        <v>#VALUE!</v>
      </c>
      <c r="G194" s="647" t="e">
        <f t="shared" si="50"/>
        <v>#VALUE!</v>
      </c>
      <c r="H194" s="647" t="e">
        <f t="shared" si="51"/>
        <v>#VALUE!</v>
      </c>
      <c r="I194" s="647" t="e">
        <f t="shared" si="44"/>
        <v>#VALUE!</v>
      </c>
      <c r="J194" s="647">
        <f t="shared" si="52"/>
        <v>0</v>
      </c>
      <c r="K194" s="647">
        <f t="shared" si="45"/>
        <v>0</v>
      </c>
      <c r="L194" s="647" t="e">
        <f t="shared" si="53"/>
        <v>#DIV/0!</v>
      </c>
      <c r="M194" s="729"/>
      <c r="N194" s="730" t="e">
        <f t="shared" si="46"/>
        <v>#VALUE!</v>
      </c>
      <c r="O194" s="730" t="e">
        <f t="shared" si="54"/>
        <v>#VALUE!</v>
      </c>
      <c r="P194" s="647" t="e">
        <f t="shared" si="55"/>
        <v>#VALUE!</v>
      </c>
      <c r="Q194" s="647" t="e">
        <f t="shared" si="56"/>
        <v>#VALUE!</v>
      </c>
      <c r="R194" s="647" t="e">
        <f t="shared" si="57"/>
        <v>#VALUE!</v>
      </c>
      <c r="S194" s="647" t="e">
        <f t="shared" si="47"/>
        <v>#VALUE!</v>
      </c>
      <c r="T194" s="647">
        <f>IF(D194="","",IF('General Info and Test Results'!$C$32="Yes",1+(0.03*(1-((MAX(1.5,'H2 Test Recorded Data'!$D$11)-1.5)/(MIN(12,'H2 Test Recorded Data'!$D$12)-1.5)))),1))</f>
        <v>1</v>
      </c>
      <c r="U194" s="621"/>
      <c r="V194" s="659"/>
      <c r="W194" s="622"/>
      <c r="X194" s="622"/>
      <c r="Y194" s="731"/>
      <c r="Z194" s="721" t="s">
        <v>256</v>
      </c>
      <c r="AA194" s="724" t="e">
        <f>($AB$199-$AB$197-($AA$193*($AD$180-$AC$180)))/($AD$180^2-$AC$180^2)</f>
        <v>#VALUE!</v>
      </c>
      <c r="AB194" s="721" t="s">
        <v>252</v>
      </c>
      <c r="AC194" s="724" t="e">
        <f>($C$57-AE192)/($C$48-AE192)</f>
        <v>#VALUE!</v>
      </c>
      <c r="AD194" s="710"/>
      <c r="AE194" s="711"/>
      <c r="AF194" s="622"/>
      <c r="AG194" s="170"/>
    </row>
    <row r="195" spans="2:33" x14ac:dyDescent="0.35">
      <c r="B195" s="669">
        <f>IF(C195="","",Tables!A19)</f>
        <v>14</v>
      </c>
      <c r="C195" s="647">
        <f>IF(D195="","",Tables!B19)</f>
        <v>-3</v>
      </c>
      <c r="D195" s="647">
        <f>IF(HLOOKUP($C$135,Tables!$A$1:$H$23,ROW()-175)=0,"",HLOOKUP($C$135,Tables!$A$1:$H$23,ROW()-175))</f>
        <v>1E-3</v>
      </c>
      <c r="E195" s="647" t="e">
        <f t="shared" si="48"/>
        <v>#VALUE!</v>
      </c>
      <c r="F195" s="647" t="e">
        <f t="shared" si="49"/>
        <v>#VALUE!</v>
      </c>
      <c r="G195" s="647" t="e">
        <f t="shared" si="50"/>
        <v>#VALUE!</v>
      </c>
      <c r="H195" s="647" t="e">
        <f t="shared" si="51"/>
        <v>#VALUE!</v>
      </c>
      <c r="I195" s="647" t="e">
        <f t="shared" si="44"/>
        <v>#VALUE!</v>
      </c>
      <c r="J195" s="647">
        <f t="shared" si="52"/>
        <v>0</v>
      </c>
      <c r="K195" s="647">
        <f t="shared" si="45"/>
        <v>0</v>
      </c>
      <c r="L195" s="647" t="e">
        <f t="shared" si="53"/>
        <v>#DIV/0!</v>
      </c>
      <c r="M195" s="729"/>
      <c r="N195" s="730" t="e">
        <f t="shared" si="46"/>
        <v>#VALUE!</v>
      </c>
      <c r="O195" s="730" t="e">
        <f t="shared" si="54"/>
        <v>#VALUE!</v>
      </c>
      <c r="P195" s="647" t="e">
        <f t="shared" si="55"/>
        <v>#VALUE!</v>
      </c>
      <c r="Q195" s="647" t="e">
        <f t="shared" si="56"/>
        <v>#VALUE!</v>
      </c>
      <c r="R195" s="647" t="e">
        <f t="shared" si="57"/>
        <v>#VALUE!</v>
      </c>
      <c r="S195" s="647" t="e">
        <f t="shared" si="47"/>
        <v>#VALUE!</v>
      </c>
      <c r="T195" s="647">
        <f>IF(D195="","",IF('General Info and Test Results'!$C$32="Yes",1+(0.03*(1-((MAX(1.5,'H2 Test Recorded Data'!$D$11)-1.5)/(MIN(12,'H2 Test Recorded Data'!$D$12)-1.5)))),1))</f>
        <v>1</v>
      </c>
      <c r="U195" s="621"/>
      <c r="V195" s="659"/>
      <c r="W195" s="622"/>
      <c r="X195" s="622"/>
      <c r="Y195" s="731"/>
      <c r="Z195" s="721" t="s">
        <v>54</v>
      </c>
      <c r="AA195" s="724" t="e">
        <f>$AB$199-$AA$193*$AD$180-$AA$194*$AD$180^2</f>
        <v>#VALUE!</v>
      </c>
      <c r="AB195" s="721" t="s">
        <v>253</v>
      </c>
      <c r="AC195" s="724" t="e">
        <f>($I$57-AE193)/($I$48-AE193)</f>
        <v>#DIV/0!</v>
      </c>
      <c r="AD195" s="710"/>
      <c r="AE195" s="711"/>
      <c r="AF195" s="622"/>
      <c r="AG195" s="170"/>
    </row>
    <row r="196" spans="2:33" x14ac:dyDescent="0.35">
      <c r="B196" s="669" t="str">
        <f>IF(C196="","",Tables!A20)</f>
        <v/>
      </c>
      <c r="C196" s="647" t="str">
        <f>IF(D196="","",Tables!B20)</f>
        <v/>
      </c>
      <c r="D196" s="647" t="str">
        <f>IF(HLOOKUP($C$135,Tables!$A$1:$H$23,ROW()-175)=0,"",HLOOKUP($C$135,Tables!$A$1:$H$23,ROW()-175))</f>
        <v/>
      </c>
      <c r="E196" s="647" t="str">
        <f t="shared" si="48"/>
        <v/>
      </c>
      <c r="F196" s="647" t="str">
        <f t="shared" si="49"/>
        <v/>
      </c>
      <c r="G196" s="647" t="str">
        <f t="shared" si="50"/>
        <v/>
      </c>
      <c r="H196" s="647" t="str">
        <f t="shared" si="51"/>
        <v/>
      </c>
      <c r="I196" s="647" t="str">
        <f t="shared" si="44"/>
        <v/>
      </c>
      <c r="J196" s="647" t="str">
        <f t="shared" si="52"/>
        <v/>
      </c>
      <c r="K196" s="647" t="str">
        <f t="shared" si="45"/>
        <v/>
      </c>
      <c r="L196" s="647" t="str">
        <f t="shared" si="53"/>
        <v/>
      </c>
      <c r="M196" s="729"/>
      <c r="N196" s="730" t="str">
        <f t="shared" si="46"/>
        <v/>
      </c>
      <c r="O196" s="730" t="str">
        <f t="shared" si="54"/>
        <v/>
      </c>
      <c r="P196" s="647" t="str">
        <f t="shared" si="55"/>
        <v/>
      </c>
      <c r="Q196" s="647" t="str">
        <f t="shared" si="56"/>
        <v/>
      </c>
      <c r="R196" s="647" t="str">
        <f t="shared" si="57"/>
        <v/>
      </c>
      <c r="S196" s="647" t="str">
        <f t="shared" si="47"/>
        <v/>
      </c>
      <c r="T196" s="647" t="str">
        <f>IF(D196="","",IF('General Info and Test Results'!$C$32="Yes",1+(0.03*(1-((MAX(1.5,'H2 Test Recorded Data'!$D$11)-1.5)/(MIN(12,'H2 Test Recorded Data'!$D$12)-1.5)))),1))</f>
        <v/>
      </c>
      <c r="U196" s="621"/>
      <c r="V196" s="659"/>
      <c r="W196" s="622"/>
      <c r="X196" s="622"/>
      <c r="Y196" s="731"/>
      <c r="Z196" s="710"/>
      <c r="AA196" s="710"/>
      <c r="AB196" s="710"/>
      <c r="AC196" s="710"/>
      <c r="AD196" s="710"/>
      <c r="AE196" s="711"/>
      <c r="AF196" s="622"/>
      <c r="AG196" s="170"/>
    </row>
    <row r="197" spans="2:33" x14ac:dyDescent="0.35">
      <c r="B197" s="669" t="str">
        <f>IF(C197="","",Tables!A21)</f>
        <v/>
      </c>
      <c r="C197" s="647" t="str">
        <f>IF(D197="","",Tables!B21)</f>
        <v/>
      </c>
      <c r="D197" s="647" t="str">
        <f>IF(HLOOKUP($C$135,Tables!$A$1:$H$23,ROW()-175)=0,"",HLOOKUP($C$135,Tables!$A$1:$H$23,ROW()-175))</f>
        <v/>
      </c>
      <c r="E197" s="647" t="str">
        <f t="shared" si="48"/>
        <v/>
      </c>
      <c r="F197" s="647" t="str">
        <f t="shared" si="49"/>
        <v/>
      </c>
      <c r="G197" s="647" t="str">
        <f t="shared" si="50"/>
        <v/>
      </c>
      <c r="H197" s="647" t="str">
        <f t="shared" si="51"/>
        <v/>
      </c>
      <c r="I197" s="647" t="str">
        <f t="shared" si="44"/>
        <v/>
      </c>
      <c r="J197" s="647" t="str">
        <f t="shared" si="52"/>
        <v/>
      </c>
      <c r="K197" s="647" t="str">
        <f t="shared" si="45"/>
        <v/>
      </c>
      <c r="L197" s="647" t="str">
        <f t="shared" si="53"/>
        <v/>
      </c>
      <c r="M197" s="729"/>
      <c r="N197" s="730" t="str">
        <f t="shared" si="46"/>
        <v/>
      </c>
      <c r="O197" s="730" t="str">
        <f t="shared" si="54"/>
        <v/>
      </c>
      <c r="P197" s="647" t="str">
        <f t="shared" si="55"/>
        <v/>
      </c>
      <c r="Q197" s="647" t="str">
        <f t="shared" si="56"/>
        <v/>
      </c>
      <c r="R197" s="647" t="str">
        <f t="shared" si="57"/>
        <v/>
      </c>
      <c r="S197" s="647" t="str">
        <f t="shared" si="47"/>
        <v/>
      </c>
      <c r="T197" s="647" t="str">
        <f>IF(D197="","",IF('General Info and Test Results'!$C$32="Yes",1+(0.03*(1-((MAX(1.5,'H2 Test Recorded Data'!$D$11)-1.5)/(MIN(12,'H2 Test Recorded Data'!$D$12)-1.5)))),1))</f>
        <v/>
      </c>
      <c r="U197" s="621"/>
      <c r="V197" s="659"/>
      <c r="W197" s="622"/>
      <c r="X197" s="622"/>
      <c r="Y197" s="731"/>
      <c r="Z197" s="710"/>
      <c r="AA197" s="721" t="s">
        <v>294</v>
      </c>
      <c r="AB197" s="724" t="e">
        <f>($C$44+(($C$56-$C$44)/(62-47))*($AC$180-47))/(3.413*($I$44+(($I$56-$I$44)/(62-47))*($AC$180-47)))</f>
        <v>#VALUE!</v>
      </c>
      <c r="AC197" s="710"/>
      <c r="AD197" s="710"/>
      <c r="AE197" s="711"/>
      <c r="AF197" s="622"/>
      <c r="AG197" s="170"/>
    </row>
    <row r="198" spans="2:33" x14ac:dyDescent="0.35">
      <c r="B198" s="669" t="str">
        <f>IF(C198="","",Tables!A22)</f>
        <v/>
      </c>
      <c r="C198" s="647" t="str">
        <f>IF(D198="","",Tables!B22)</f>
        <v/>
      </c>
      <c r="D198" s="647" t="str">
        <f>IF(HLOOKUP($C$135,Tables!$A$1:$H$23,ROW()-175)=0,"",HLOOKUP($C$135,Tables!$A$1:$H$23,ROW()-175))</f>
        <v/>
      </c>
      <c r="E198" s="647" t="str">
        <f t="shared" si="48"/>
        <v/>
      </c>
      <c r="F198" s="647" t="str">
        <f t="shared" si="49"/>
        <v/>
      </c>
      <c r="G198" s="647" t="str">
        <f t="shared" si="50"/>
        <v/>
      </c>
      <c r="H198" s="647" t="str">
        <f t="shared" si="51"/>
        <v/>
      </c>
      <c r="I198" s="647" t="str">
        <f t="shared" si="44"/>
        <v/>
      </c>
      <c r="J198" s="647" t="str">
        <f t="shared" si="52"/>
        <v/>
      </c>
      <c r="K198" s="647" t="str">
        <f t="shared" si="45"/>
        <v/>
      </c>
      <c r="L198" s="647" t="str">
        <f t="shared" si="53"/>
        <v/>
      </c>
      <c r="M198" s="729"/>
      <c r="N198" s="730" t="str">
        <f t="shared" si="46"/>
        <v/>
      </c>
      <c r="O198" s="730" t="str">
        <f t="shared" si="54"/>
        <v/>
      </c>
      <c r="P198" s="647" t="str">
        <f t="shared" si="55"/>
        <v/>
      </c>
      <c r="Q198" s="647" t="str">
        <f t="shared" si="56"/>
        <v/>
      </c>
      <c r="R198" s="647" t="str">
        <f t="shared" si="57"/>
        <v/>
      </c>
      <c r="S198" s="647" t="str">
        <f t="shared" si="47"/>
        <v/>
      </c>
      <c r="T198" s="647" t="str">
        <f>IF(D198="","",IF('General Info and Test Results'!$C$32="Yes",1+(0.03*(1-((MAX(1.5,'H2 Test Recorded Data'!$D$11)-1.5)/(MIN(12,'H2 Test Recorded Data'!$D$12)-1.5)))),1))</f>
        <v/>
      </c>
      <c r="U198" s="621"/>
      <c r="V198" s="659"/>
      <c r="W198" s="622"/>
      <c r="X198" s="622"/>
      <c r="Y198" s="731"/>
      <c r="Z198" s="710"/>
      <c r="AA198" s="721" t="s">
        <v>296</v>
      </c>
      <c r="AB198" s="724" t="e">
        <f>($C$57+($AC$192*($AE$180-35)))/(3.413*($I$57+($AC$193*($AE$180-35))))</f>
        <v>#VALUE!</v>
      </c>
      <c r="AC198" s="710"/>
      <c r="AD198" s="710"/>
      <c r="AE198" s="711"/>
      <c r="AF198" s="622"/>
      <c r="AG198" s="170"/>
    </row>
    <row r="199" spans="2:33" x14ac:dyDescent="0.35">
      <c r="B199" s="669" t="e">
        <f>IF(C199="","",Tables!A23)</f>
        <v>#REF!</v>
      </c>
      <c r="C199" s="647" t="e">
        <f>IF(D199="","",Tables!B23)</f>
        <v>#REF!</v>
      </c>
      <c r="D199" s="647" t="e">
        <f>IF(HLOOKUP($C$135,Tables!$A$1:$H$23,ROW()-175)=0,"",HLOOKUP($C$135,Tables!$A$1:$H$23,ROW()-175))</f>
        <v>#REF!</v>
      </c>
      <c r="E199" s="647" t="e">
        <f t="shared" si="48"/>
        <v>#REF!</v>
      </c>
      <c r="F199" s="647" t="e">
        <f t="shared" si="49"/>
        <v>#REF!</v>
      </c>
      <c r="G199" s="647" t="e">
        <f t="shared" si="50"/>
        <v>#REF!</v>
      </c>
      <c r="H199" s="647" t="e">
        <f t="shared" si="51"/>
        <v>#REF!</v>
      </c>
      <c r="I199" s="647" t="e">
        <f t="shared" si="44"/>
        <v>#REF!</v>
      </c>
      <c r="J199" s="647" t="e">
        <f t="shared" si="52"/>
        <v>#REF!</v>
      </c>
      <c r="K199" s="647" t="e">
        <f t="shared" si="45"/>
        <v>#REF!</v>
      </c>
      <c r="L199" s="647" t="e">
        <f t="shared" si="53"/>
        <v>#REF!</v>
      </c>
      <c r="M199" s="729"/>
      <c r="N199" s="730" t="e">
        <f t="shared" si="46"/>
        <v>#REF!</v>
      </c>
      <c r="O199" s="730" t="e">
        <f t="shared" si="54"/>
        <v>#REF!</v>
      </c>
      <c r="P199" s="647" t="e">
        <f t="shared" si="55"/>
        <v>#REF!</v>
      </c>
      <c r="Q199" s="647" t="e">
        <f t="shared" si="56"/>
        <v>#REF!</v>
      </c>
      <c r="R199" s="647" t="e">
        <f t="shared" si="57"/>
        <v>#REF!</v>
      </c>
      <c r="S199" s="647" t="e">
        <f t="shared" si="47"/>
        <v>#REF!</v>
      </c>
      <c r="T199" s="647" t="e">
        <f>IF(D199="","",IF('General Info and Test Results'!$C$32="Yes",1+(0.03*(1-((MAX(1.5,'H2 Test Recorded Data'!$D$11)-1.5)/(MIN(12,'H2 Test Recorded Data'!$D$12)-1.5)))),1))</f>
        <v>#REF!</v>
      </c>
      <c r="U199" s="621"/>
      <c r="V199" s="659"/>
      <c r="W199" s="622"/>
      <c r="X199" s="622"/>
      <c r="Y199" s="731"/>
      <c r="Z199" s="710"/>
      <c r="AA199" s="721" t="s">
        <v>295</v>
      </c>
      <c r="AB199" s="724" t="e">
        <f>IF(OR(AD180&gt;=45,AD180&lt;=17),($C$51+(($C$45-$C$51)*($AD$180-17))/(47-17))/(3.413*($I$51+((($I$45-$I$51)*($AD$180-17))/(47-17)))),($C$51+(($C$48-$C$51)*($AD$180-17))/(35-17))/(3.413*($I$51+((($I$48-$I$51)*($AD$180-17))/(35-17)))))</f>
        <v>#VALUE!</v>
      </c>
      <c r="AC199" s="710"/>
      <c r="AD199" s="710"/>
      <c r="AE199" s="711"/>
      <c r="AF199" s="622"/>
      <c r="AG199" s="170"/>
    </row>
    <row r="200" spans="2:33" ht="18.75" thickBot="1" x14ac:dyDescent="0.4">
      <c r="B200" s="658"/>
      <c r="C200" s="650"/>
      <c r="D200" s="650"/>
      <c r="E200" s="650"/>
      <c r="F200" s="650"/>
      <c r="G200" s="650"/>
      <c r="H200" s="650"/>
      <c r="I200" s="650"/>
      <c r="J200" s="650"/>
      <c r="K200" s="650"/>
      <c r="L200" s="650"/>
      <c r="M200" s="650"/>
      <c r="N200" s="650"/>
      <c r="O200" s="650"/>
      <c r="P200" s="650"/>
      <c r="Q200" s="650"/>
      <c r="R200" s="621"/>
      <c r="S200" s="621"/>
      <c r="T200" s="621"/>
      <c r="U200" s="621"/>
      <c r="V200" s="659"/>
      <c r="W200" s="622"/>
      <c r="X200" s="622"/>
      <c r="Y200" s="734"/>
      <c r="Z200" s="735"/>
      <c r="AA200" s="735"/>
      <c r="AB200" s="735"/>
      <c r="AC200" s="735"/>
      <c r="AD200" s="735"/>
      <c r="AE200" s="736"/>
      <c r="AF200" s="622"/>
      <c r="AG200" s="170"/>
    </row>
    <row r="201" spans="2:33" x14ac:dyDescent="0.35">
      <c r="B201" s="698" t="s">
        <v>134</v>
      </c>
      <c r="C201" s="647" t="e">
        <f>SUM(Q182:Q199)</f>
        <v>#VALUE!</v>
      </c>
      <c r="D201" s="650"/>
      <c r="E201" s="650"/>
      <c r="F201" s="650"/>
      <c r="G201" s="650"/>
      <c r="H201" s="650"/>
      <c r="I201" s="650"/>
      <c r="J201" s="650"/>
      <c r="K201" s="650"/>
      <c r="L201" s="650"/>
      <c r="M201" s="650"/>
      <c r="N201" s="650"/>
      <c r="O201" s="650"/>
      <c r="P201" s="650"/>
      <c r="Q201" s="650"/>
      <c r="R201" s="621"/>
      <c r="S201" s="621"/>
      <c r="T201" s="621"/>
      <c r="U201" s="621"/>
      <c r="V201" s="659"/>
      <c r="W201" s="622"/>
      <c r="X201" s="622"/>
      <c r="Y201" s="622"/>
      <c r="Z201" s="622"/>
      <c r="AA201" s="622"/>
      <c r="AB201" s="622"/>
      <c r="AC201" s="622"/>
      <c r="AD201" s="622"/>
      <c r="AE201" s="622"/>
      <c r="AF201" s="622"/>
      <c r="AG201" s="170"/>
    </row>
    <row r="202" spans="2:33" x14ac:dyDescent="0.35">
      <c r="B202" s="698" t="s">
        <v>135</v>
      </c>
      <c r="C202" s="647" t="e">
        <f>SUM(R182:R199)</f>
        <v>#VALUE!</v>
      </c>
      <c r="D202" s="650"/>
      <c r="E202" s="650"/>
      <c r="F202" s="650"/>
      <c r="G202" s="650"/>
      <c r="H202" s="650"/>
      <c r="I202" s="650"/>
      <c r="J202" s="650"/>
      <c r="K202" s="650"/>
      <c r="L202" s="650"/>
      <c r="M202" s="650"/>
      <c r="N202" s="650"/>
      <c r="O202" s="650"/>
      <c r="P202" s="650"/>
      <c r="Q202" s="650"/>
      <c r="R202" s="621"/>
      <c r="S202" s="621"/>
      <c r="T202" s="621"/>
      <c r="U202" s="621"/>
      <c r="V202" s="659"/>
      <c r="W202" s="622"/>
      <c r="X202" s="622"/>
      <c r="Y202" s="622"/>
      <c r="Z202" s="622"/>
      <c r="AA202" s="622"/>
      <c r="AB202" s="622"/>
      <c r="AC202" s="622"/>
      <c r="AD202" s="622"/>
      <c r="AE202" s="622"/>
      <c r="AF202" s="622"/>
      <c r="AG202" s="170"/>
    </row>
    <row r="203" spans="2:33" x14ac:dyDescent="0.35">
      <c r="B203" s="698" t="s">
        <v>133</v>
      </c>
      <c r="C203" s="647" t="e">
        <f>SUM(S182:S199)</f>
        <v>#VALUE!</v>
      </c>
      <c r="D203" s="650"/>
      <c r="E203" s="650"/>
      <c r="F203" s="650"/>
      <c r="G203" s="650"/>
      <c r="H203" s="650"/>
      <c r="I203" s="650"/>
      <c r="J203" s="650"/>
      <c r="K203" s="650"/>
      <c r="L203" s="650"/>
      <c r="M203" s="650"/>
      <c r="N203" s="650"/>
      <c r="O203" s="650"/>
      <c r="P203" s="650"/>
      <c r="Q203" s="650"/>
      <c r="R203" s="621"/>
      <c r="S203" s="621"/>
      <c r="T203" s="621"/>
      <c r="U203" s="621"/>
      <c r="V203" s="659"/>
      <c r="W203" s="622"/>
      <c r="X203" s="622"/>
      <c r="Y203" s="622"/>
      <c r="Z203" s="622"/>
      <c r="AA203" s="622"/>
      <c r="AB203" s="622"/>
      <c r="AC203" s="622"/>
      <c r="AD203" s="622"/>
      <c r="AE203" s="622"/>
      <c r="AF203" s="622"/>
      <c r="AG203" s="170"/>
    </row>
    <row r="204" spans="2:33" ht="36" customHeight="1" thickBot="1" x14ac:dyDescent="0.4">
      <c r="B204" s="643"/>
      <c r="C204" s="741" t="s">
        <v>625</v>
      </c>
      <c r="D204" s="918" t="s">
        <v>626</v>
      </c>
      <c r="E204" s="918"/>
      <c r="F204" s="650"/>
      <c r="G204" s="650"/>
      <c r="H204" s="650"/>
      <c r="I204" s="650"/>
      <c r="J204" s="650"/>
      <c r="K204" s="650"/>
      <c r="L204" s="650"/>
      <c r="M204" s="650"/>
      <c r="N204" s="650"/>
      <c r="O204" s="650"/>
      <c r="P204" s="650"/>
      <c r="Q204" s="650"/>
      <c r="R204" s="621"/>
      <c r="S204" s="621"/>
      <c r="T204" s="621"/>
      <c r="U204" s="621"/>
      <c r="V204" s="659"/>
      <c r="W204" s="622"/>
      <c r="X204" s="622"/>
      <c r="Y204" s="622"/>
      <c r="Z204" s="622"/>
      <c r="AA204" s="622"/>
      <c r="AB204" s="622"/>
      <c r="AC204" s="622"/>
      <c r="AD204" s="622"/>
      <c r="AE204" s="622"/>
      <c r="AF204" s="622"/>
      <c r="AG204" s="170"/>
    </row>
    <row r="205" spans="2:33" ht="18.75" thickBot="1" x14ac:dyDescent="0.4">
      <c r="B205" s="665" t="s">
        <v>121</v>
      </c>
      <c r="C205" s="666" t="e">
        <f>(C203/(C201+C202))*T182</f>
        <v>#VALUE!</v>
      </c>
      <c r="D205" s="1040"/>
      <c r="E205" s="1040"/>
      <c r="F205" s="650"/>
      <c r="G205" s="650"/>
      <c r="H205" s="650"/>
      <c r="I205" s="650"/>
      <c r="J205" s="650"/>
      <c r="K205" s="650"/>
      <c r="L205" s="650"/>
      <c r="M205" s="650"/>
      <c r="N205" s="650"/>
      <c r="O205" s="650"/>
      <c r="P205" s="650"/>
      <c r="Q205" s="650"/>
      <c r="R205" s="621"/>
      <c r="S205" s="621"/>
      <c r="T205" s="621"/>
      <c r="U205" s="621"/>
      <c r="V205" s="659"/>
      <c r="W205" s="622"/>
      <c r="X205" s="622"/>
      <c r="Y205" s="622"/>
      <c r="Z205" s="622"/>
      <c r="AA205" s="622"/>
      <c r="AB205" s="622"/>
      <c r="AC205" s="622"/>
      <c r="AD205" s="622"/>
      <c r="AE205" s="622"/>
      <c r="AF205" s="622"/>
      <c r="AG205" s="170"/>
    </row>
    <row r="206" spans="2:33" x14ac:dyDescent="0.35">
      <c r="B206" s="658"/>
      <c r="C206" s="650"/>
      <c r="D206" s="650"/>
      <c r="E206" s="650"/>
      <c r="F206" s="650"/>
      <c r="G206" s="650"/>
      <c r="H206" s="650"/>
      <c r="I206" s="650"/>
      <c r="J206" s="650"/>
      <c r="K206" s="650"/>
      <c r="L206" s="650"/>
      <c r="M206" s="650"/>
      <c r="N206" s="650"/>
      <c r="O206" s="650"/>
      <c r="P206" s="650"/>
      <c r="Q206" s="650"/>
      <c r="R206" s="621"/>
      <c r="S206" s="621"/>
      <c r="T206" s="621"/>
      <c r="U206" s="621"/>
      <c r="V206" s="659"/>
      <c r="W206" s="622"/>
      <c r="X206" s="622"/>
      <c r="Y206" s="622"/>
      <c r="Z206" s="622"/>
      <c r="AA206" s="622"/>
      <c r="AB206" s="622"/>
      <c r="AC206" s="622"/>
      <c r="AD206" s="622"/>
      <c r="AE206" s="622"/>
      <c r="AF206" s="622"/>
      <c r="AG206" s="170"/>
    </row>
    <row r="207" spans="2:33" x14ac:dyDescent="0.35">
      <c r="B207" s="660" t="s">
        <v>229</v>
      </c>
      <c r="C207" s="661"/>
      <c r="D207" s="661"/>
      <c r="E207" s="661"/>
      <c r="F207" s="661"/>
      <c r="G207" s="661"/>
      <c r="H207" s="661"/>
      <c r="I207" s="661"/>
      <c r="J207" s="661"/>
      <c r="K207" s="661"/>
      <c r="L207" s="661"/>
      <c r="M207" s="661"/>
      <c r="N207" s="661"/>
      <c r="O207" s="661"/>
      <c r="P207" s="661"/>
      <c r="Q207" s="661"/>
      <c r="R207" s="662"/>
      <c r="S207" s="621"/>
      <c r="T207" s="621"/>
      <c r="U207" s="621"/>
      <c r="V207" s="659"/>
      <c r="W207" s="622"/>
      <c r="X207" s="622"/>
      <c r="Y207" s="622"/>
      <c r="Z207" s="622"/>
      <c r="AA207" s="622"/>
      <c r="AB207" s="622"/>
      <c r="AC207" s="622"/>
      <c r="AD207" s="622"/>
      <c r="AE207" s="622"/>
      <c r="AF207" s="622"/>
      <c r="AG207" s="170"/>
    </row>
    <row r="208" spans="2:33" x14ac:dyDescent="0.35">
      <c r="B208" s="658"/>
      <c r="C208" s="650"/>
      <c r="D208" s="650"/>
      <c r="E208" s="650"/>
      <c r="F208" s="650"/>
      <c r="G208" s="650"/>
      <c r="H208" s="650"/>
      <c r="I208" s="650"/>
      <c r="J208" s="650"/>
      <c r="K208" s="650"/>
      <c r="L208" s="650"/>
      <c r="M208" s="650"/>
      <c r="N208" s="650"/>
      <c r="O208" s="650"/>
      <c r="P208" s="650"/>
      <c r="Q208" s="650"/>
      <c r="R208" s="621"/>
      <c r="S208" s="621"/>
      <c r="T208" s="621"/>
      <c r="U208" s="621"/>
      <c r="V208" s="659"/>
      <c r="W208" s="622"/>
      <c r="X208" s="622"/>
      <c r="Y208" s="622"/>
      <c r="Z208" s="622"/>
      <c r="AA208" s="622"/>
      <c r="AB208" s="622"/>
      <c r="AC208" s="622"/>
      <c r="AD208" s="622"/>
      <c r="AE208" s="622"/>
      <c r="AF208" s="622"/>
      <c r="AG208" s="170"/>
    </row>
    <row r="209" spans="2:33" x14ac:dyDescent="0.35">
      <c r="B209" s="651" t="s">
        <v>352</v>
      </c>
      <c r="C209" s="737">
        <f>IF(C53="", 0.25, ROUND(MIN(0.25,((1-((C53/(3.413*I53))/(C44/(3.413*I44))))/(1-C53/(C44*'Optional H1C Test Recorded Data'!$D$13)))),2))</f>
        <v>0.25</v>
      </c>
      <c r="D209" s="650"/>
      <c r="E209" s="1047" t="s">
        <v>303</v>
      </c>
      <c r="F209" s="1049" t="s">
        <v>489</v>
      </c>
      <c r="G209" s="648" t="s">
        <v>560</v>
      </c>
      <c r="H209" s="738"/>
      <c r="I209" s="650"/>
      <c r="J209" s="650"/>
      <c r="K209" s="650"/>
      <c r="L209" s="650"/>
      <c r="M209" s="650"/>
      <c r="N209" s="650"/>
      <c r="O209" s="650"/>
      <c r="P209" s="650"/>
      <c r="Q209" s="650"/>
      <c r="R209" s="621"/>
      <c r="S209" s="621"/>
      <c r="T209" s="621"/>
      <c r="U209" s="621"/>
      <c r="V209" s="659"/>
      <c r="W209" s="622"/>
      <c r="X209" s="622"/>
      <c r="Y209" s="622"/>
      <c r="Z209" s="622"/>
      <c r="AA209" s="622"/>
      <c r="AB209" s="622"/>
      <c r="AC209" s="622"/>
      <c r="AD209" s="622"/>
      <c r="AE209" s="622"/>
      <c r="AF209" s="622"/>
      <c r="AG209" s="170"/>
    </row>
    <row r="210" spans="2:33" ht="36" x14ac:dyDescent="0.35">
      <c r="B210" s="663" t="s">
        <v>490</v>
      </c>
      <c r="C210" s="737">
        <f>IF(C54="", $C$209, ROUND(MIN(0.25,((1-((C54/(3.413*I54))/(C45/(3.413*I45))))/(1-C54/(C45*'Optional H1C Test Recorded Data'!$D$85)))),2))</f>
        <v>0.25</v>
      </c>
      <c r="D210" s="650"/>
      <c r="E210" s="1048"/>
      <c r="F210" s="1050"/>
      <c r="G210" s="650"/>
      <c r="H210" s="650"/>
      <c r="I210" s="650"/>
      <c r="J210" s="650"/>
      <c r="K210" s="650"/>
      <c r="L210" s="650"/>
      <c r="M210" s="650"/>
      <c r="N210" s="650"/>
      <c r="O210" s="650"/>
      <c r="P210" s="650"/>
      <c r="Q210" s="650"/>
      <c r="R210" s="621"/>
      <c r="S210" s="621"/>
      <c r="T210" s="621"/>
      <c r="U210" s="621"/>
      <c r="V210" s="659"/>
      <c r="W210" s="622"/>
      <c r="X210" s="622"/>
      <c r="Y210" s="622"/>
      <c r="Z210" s="622"/>
      <c r="AA210" s="622"/>
      <c r="AB210" s="622"/>
      <c r="AC210" s="622"/>
      <c r="AD210" s="622"/>
      <c r="AE210" s="622"/>
      <c r="AF210" s="622"/>
      <c r="AG210" s="170"/>
    </row>
    <row r="211" spans="2:33" x14ac:dyDescent="0.35">
      <c r="B211" s="658"/>
      <c r="C211" s="650"/>
      <c r="D211" s="650"/>
      <c r="E211" s="650"/>
      <c r="F211" s="650"/>
      <c r="G211" s="650"/>
      <c r="H211" s="650"/>
      <c r="I211" s="650"/>
      <c r="J211" s="650"/>
      <c r="K211" s="650"/>
      <c r="L211" s="650"/>
      <c r="M211" s="650"/>
      <c r="N211" s="650"/>
      <c r="O211" s="650"/>
      <c r="P211" s="650"/>
      <c r="Q211" s="650"/>
      <c r="R211" s="621"/>
      <c r="S211" s="621"/>
      <c r="T211" s="621"/>
      <c r="U211" s="621"/>
      <c r="V211" s="659"/>
      <c r="W211" s="622"/>
      <c r="X211" s="622"/>
      <c r="Y211" s="622"/>
      <c r="Z211" s="622"/>
      <c r="AA211" s="622"/>
      <c r="AB211" s="622"/>
      <c r="AC211" s="622"/>
      <c r="AD211" s="622"/>
      <c r="AE211" s="622"/>
      <c r="AF211" s="622"/>
      <c r="AG211" s="170"/>
    </row>
    <row r="212" spans="2:33" x14ac:dyDescent="0.35">
      <c r="B212" s="667" t="s">
        <v>132</v>
      </c>
      <c r="C212" s="668" t="s">
        <v>399</v>
      </c>
      <c r="D212" s="668" t="s">
        <v>113</v>
      </c>
      <c r="E212" s="668" t="s">
        <v>401</v>
      </c>
      <c r="F212" s="739" t="s">
        <v>266</v>
      </c>
      <c r="G212" s="739" t="s">
        <v>267</v>
      </c>
      <c r="H212" s="739" t="s">
        <v>273</v>
      </c>
      <c r="I212" s="739" t="s">
        <v>491</v>
      </c>
      <c r="J212" s="739" t="s">
        <v>271</v>
      </c>
      <c r="K212" s="739" t="s">
        <v>272</v>
      </c>
      <c r="L212" s="739" t="s">
        <v>304</v>
      </c>
      <c r="M212" s="739" t="s">
        <v>557</v>
      </c>
      <c r="N212" s="739" t="s">
        <v>116</v>
      </c>
      <c r="O212" s="739" t="s">
        <v>117</v>
      </c>
      <c r="P212" s="668" t="s">
        <v>118</v>
      </c>
      <c r="Q212" s="668" t="s">
        <v>119</v>
      </c>
      <c r="R212" s="668" t="s">
        <v>120</v>
      </c>
      <c r="S212" s="621"/>
      <c r="T212" s="621"/>
      <c r="U212" s="621"/>
      <c r="V212" s="659"/>
      <c r="W212" s="622"/>
      <c r="X212" s="622"/>
      <c r="Y212" s="622"/>
      <c r="Z212" s="622"/>
      <c r="AA212" s="622"/>
      <c r="AB212" s="622"/>
      <c r="AC212" s="622"/>
      <c r="AD212" s="622"/>
      <c r="AE212" s="622"/>
      <c r="AF212" s="622"/>
      <c r="AG212" s="170"/>
    </row>
    <row r="213" spans="2:33" x14ac:dyDescent="0.35">
      <c r="B213" s="669">
        <f>IF(C213="","",Tables!A6)</f>
        <v>1</v>
      </c>
      <c r="C213" s="647">
        <f>IF(D213="","",Tables!B6)</f>
        <v>62</v>
      </c>
      <c r="D213" s="647">
        <f>IF(HLOOKUP($C$135,Tables!$A$1:$H$23,ROW()-206)=0,"",HLOOKUP($C$135,Tables!$A$1:$H$23,ROW()-206))</f>
        <v>0.111</v>
      </c>
      <c r="E213" s="647" t="e">
        <f>IF(D213="","",((65-C213)/(65-$G$139))*$G$140*$G$137)</f>
        <v>#VALUE!</v>
      </c>
      <c r="F213" s="647" t="e">
        <f>IF(D213="","",IF(C213&gt;=40,$C$44+((($C$56-$C$44)*(C213-47))/(62-47)),IF(C213&lt;17,$C$50+((($C$44-$C$50)*(C213-17))/(47-17)),$C$50+((($C$47-$C$50)*(C213-17))/(35-17)))))</f>
        <v>#VALUE!</v>
      </c>
      <c r="G213" s="647" t="e">
        <f>IF(D213="","",IF(OR(C213&gt;=45,C213&lt;=17),$C$51+((($C$45-$C$51)*(C213-17))/(47-17)),$C$51+((($C$48-$C$51)*(C213-17))/(35-17))))</f>
        <v>#VALUE!</v>
      </c>
      <c r="H213" s="647" t="e">
        <f>IF(D213="","",IF(F213&gt;=E213,E213/F213,IF(OR(AND(F213&lt;E213,G213&gt;E213, $F$209="No"),AND(F213&lt;E213,G213&gt;E213, $F$209="Yes", C213&lt;$H$209) ),(G213-E213)/(G213-F213),"")))</f>
        <v>#VALUE!</v>
      </c>
      <c r="I213" s="647" t="e">
        <f>IF(D213="","",IF(AND(E213&lt;G213,$F$209= "Yes", C213&gt;=$H$209),E213/G213,IF(OR(AND(F213&lt;E213,G213&gt;E213,$F$209="No"),AND(F213&lt;E213,G213&gt;E213,$F$209="Yes", C213&lt;$H$209)),1-H213," ")))</f>
        <v>#VALUE!</v>
      </c>
      <c r="J213" s="647">
        <f>IF(D213="","",IF(C213&gt;=40,$I$44+((($I$56-$I$44)*(C213-47))/(62-47)),IF(C213&lt;17,$I$50+((($I$44-$I$50)*(C213-17))/(47-17)),$I$50+((($I$47-$I$50)*(C213-17))/(35-17)))))</f>
        <v>0</v>
      </c>
      <c r="K213" s="647">
        <f>IF(D213="","",IF(OR(C213&gt;=45,C213&lt;=17),$I$51+((($I$45-$I$51)*(C213-17))/(47-17)),$I$51+((($I$48-$I$51)*(C213-17))/(35-17))))</f>
        <v>0</v>
      </c>
      <c r="L213" s="647" t="e">
        <f>IF(D213="","",G213/(3.413*K213))</f>
        <v>#VALUE!</v>
      </c>
      <c r="M213" s="647" t="e">
        <f>IF(D213="","",IF(OR(F213&gt;=E213,AND(F213&lt;E213,G213&gt;E213),AND(G213&gt;E213,$F$209="Yes",$H$209&gt;=C213)),IF(C213&lt;=$C$140,0,IF(C213&gt;$C$138,1,0.5)),IF(OR(C213&lt;=$C$140,L213&lt;1),0,IF(AND(C213&gt;$C$140,C213&lt;=$C$138,L213&gt;=1),0.5,1))))</f>
        <v>#VALUE!</v>
      </c>
      <c r="N213" s="730" t="e">
        <f>IF(D213="","",IF(F213&gt;=E213,(1-($C$209*(1-H213))),IF(AND($F$209="Yes",C213&gt;=$H$209,E213&lt;G213),(1-($C$210*(1-I213))),"N/A")))</f>
        <v>#VALUE!</v>
      </c>
      <c r="O213" s="730" t="e">
        <f>IF(D213="","",IF(F213&gt;=E213,(H213*J213*M213/N213*D213),IF(AND(G213&gt;E213,$F$209="Yes", C213&gt;=$H$209),(I213*K213*M213/N213*D213),IF(OR(AND(F213&lt;E213,E213&lt;G213,$F$209="No"),AND(F213&lt;E213,E213&lt;G213,$F$209="Yes",C213&lt;$H$209)),(H213*J213+I213*K213)*M213*D213,IF(E213&gt;G213,((K213*M213*D213)),"Error - Check Data")))))</f>
        <v>#VALUE!</v>
      </c>
      <c r="P213" s="730" t="e">
        <f>IF(D213="","",IF(F213&gt;=E213,((E213*(1-M213))/3.413)*D213,IF(AND($F$209="Yes",E213&lt;G213, C213&gt;=$H$209),((E213*(1-M213))/3.413)*D213,IF(OR(AND(F213&lt;E213,E213&lt;G213,$F$209="No"),AND(F213&lt;E213,E213&lt;G213,$F$209="Yes", C213&lt;$H$209)),((E213*(1-M213))/3.413)*D213,IF(E213&gt;=G213,((E213-(G213*M213))/3.413)*D213,"Error-Check Data")))))</f>
        <v>#VALUE!</v>
      </c>
      <c r="Q213" s="730" t="e">
        <f t="shared" ref="Q213:Q230" si="58">IF(D213="","",E213*D213)</f>
        <v>#VALUE!</v>
      </c>
      <c r="R213" s="730">
        <f>IF(B213="","",IF('General Info and Test Results'!$C$32="Yes",1+(0.03*(1-((MAX(1.5,'H2 Test Recorded Data'!$D$11)-1.5)/(MIN(12,'H2 Test Recorded Data'!$D$12)-1.5)))),1))</f>
        <v>1</v>
      </c>
      <c r="S213" s="621"/>
      <c r="T213" s="621"/>
      <c r="U213" s="621"/>
      <c r="V213" s="659"/>
      <c r="W213" s="622"/>
      <c r="X213" s="622"/>
      <c r="Y213" s="622"/>
      <c r="Z213" s="622"/>
      <c r="AA213" s="622"/>
      <c r="AB213" s="622"/>
      <c r="AC213" s="622"/>
      <c r="AD213" s="622"/>
      <c r="AE213" s="622"/>
      <c r="AF213" s="622"/>
      <c r="AG213" s="170"/>
    </row>
    <row r="214" spans="2:33" x14ac:dyDescent="0.35">
      <c r="B214" s="669">
        <f>IF(C214="","",Tables!A7)</f>
        <v>2</v>
      </c>
      <c r="C214" s="647">
        <f>IF(D214="","",Tables!B7)</f>
        <v>57</v>
      </c>
      <c r="D214" s="647">
        <f>IF(HLOOKUP($C$135,Tables!$A$1:$H$23,ROW()-206)=0,"",HLOOKUP($C$135,Tables!$A$1:$H$23,ROW()-206))</f>
        <v>0.10299999999999999</v>
      </c>
      <c r="E214" s="647" t="e">
        <f t="shared" ref="E214:E230" si="59">IF(D214="","",((65-C214)/(65-$G$139))*$G$140*$G$137)</f>
        <v>#VALUE!</v>
      </c>
      <c r="F214" s="647" t="e">
        <f t="shared" ref="F214:F230" si="60">IF(D214="","",IF(C214&gt;=40,$C$44+((($C$56-$C$44)*(C214-47))/(62-47)),IF(C214&lt;17,$C$50+((($C$44-$C$50)*(C214-17))/(47-17)),$C$50+((($C$47-$C$50)*(C214-17))/(35-17)))))</f>
        <v>#VALUE!</v>
      </c>
      <c r="G214" s="647" t="e">
        <f t="shared" ref="G214:G230" si="61">IF(D214="","",IF(OR(C214&gt;=45,C214&lt;=17),$C$51+((($C$45-$C$51)*(C214-17))/(47-17)),$C$51+((($C$48-$C$51)*(C214-17))/(35-17))))</f>
        <v>#VALUE!</v>
      </c>
      <c r="H214" s="647" t="e">
        <f t="shared" ref="H214:H230" si="62">IF(D214="","",IF(F214&gt;=E214,E214/F214,IF(OR(AND(F214&lt;E214,G214&gt;E214, $F$209="No"),AND(F214&lt;E214,G214&gt;E214, $F$209="Yes", C214&lt;$H$209) ),(G214-E214)/(G214-F214),"")))</f>
        <v>#VALUE!</v>
      </c>
      <c r="I214" s="647" t="e">
        <f t="shared" ref="I214:I230" si="63">IF(D214="","",IF(AND(E214&lt;G214,$F$209= "Yes", C214&gt;=$H$209),E214/G214,IF(OR(AND(F214&lt;E214,G214&gt;E214,$F$209="No"),AND(F214&lt;E214,G214&gt;E214,$F$209="Yes", C214&lt;$H$209)),1-H214," ")))</f>
        <v>#VALUE!</v>
      </c>
      <c r="J214" s="647">
        <f t="shared" ref="J214:J230" si="64">IF(D214="","",IF(C214&gt;=40,$I$44+((($I$56-$I$44)*(C214-47))/(62-47)),IF(C214&lt;17,$I$50+((($I$44-$I$50)*(C214-17))/(47-17)),$I$50+((($I$47-$I$50)*(C214-17))/(35-17)))))</f>
        <v>0</v>
      </c>
      <c r="K214" s="647">
        <f t="shared" ref="K214:K230" si="65">IF(D214="","",IF(OR(C214&gt;=45,C214&lt;=17),$I$51+((($I$45-$I$51)*(C214-17))/(47-17)),$I$51+((($I$48-$I$51)*(C214-17))/(35-17))))</f>
        <v>0</v>
      </c>
      <c r="L214" s="647" t="e">
        <f t="shared" ref="L214:L230" si="66">IF(D214="","",G214/(3.413*K214))</f>
        <v>#VALUE!</v>
      </c>
      <c r="M214" s="647" t="e">
        <f t="shared" ref="M214:M229" si="67">IF(D214="","",IF(OR(F214&gt;=E214,AND(F214&lt;E214,G214&gt;E214),AND(G214&gt;E214,$F$209="Yes",$H$209&gt;=C214)),IF(C214&lt;=$C$140,0,IF(C214&gt;$C$138,1,0.5)),IF(OR(C214&lt;=$C$140,L214&lt;1),0,IF(AND(C214&gt;$C$140,C214&lt;=$C$138,L214&gt;=1),0.5,1))))</f>
        <v>#VALUE!</v>
      </c>
      <c r="N214" s="730" t="e">
        <f t="shared" ref="N214:N230" si="68">IF(D214="","",IF(F214&gt;=E214,(1-($C$209*(1-H214))),IF(AND($F$209="Yes",C214&gt;=$H$209,E214&lt;G214),(1-($C$210*(1-I214))),"N/A")))</f>
        <v>#VALUE!</v>
      </c>
      <c r="O214" s="730" t="e">
        <f t="shared" ref="O214:O230" si="69">IF(D214="","",IF(F214&gt;=E214,(H214*J214*M214/N214*D214),IF(AND(G214&gt;E214,$F$209="Yes", C214&gt;=$H$209),(I214*K214*M214/N214*D214),IF(OR(AND(F214&lt;E214,E214&lt;G214,$F$209="No"),AND(F214&lt;E214,E214&lt;G214,$F$209="Yes",C214&lt;$H$209)),(H214*J214+I214*K214)*M214*D214,IF(E214&gt;G214,((K214*M214*D214)),"Error - Check Data")))))</f>
        <v>#VALUE!</v>
      </c>
      <c r="P214" s="730" t="e">
        <f t="shared" ref="P214:P230" si="70">IF(D214="","",IF(F214&gt;=E214,((E214*(1-M214))/3.413)*D214,IF(AND($F$209="Yes",E214&lt;G214, C214&gt;=$H$209),((E214*(1-M214))/3.413)*D214,IF(OR(AND(F214&lt;E214,E214&lt;G214,$F$209="No"),AND(F214&lt;E214,E214&lt;G214,$F$209="Yes", C214&lt;$H$209)),((E214*(1-M214))/3.413)*D214,IF(E214&gt;=G214,((E214-(G214*M214))/3.413)*D214,"Error-Check Data")))))</f>
        <v>#VALUE!</v>
      </c>
      <c r="Q214" s="730" t="e">
        <f t="shared" si="58"/>
        <v>#VALUE!</v>
      </c>
      <c r="R214" s="730">
        <f>IF(B214="","",IF('General Info and Test Results'!$C$32="Yes",1+(0.03*(1-((MAX(1.5,'H2 Test Recorded Data'!$D$11)-1.5)/(MIN(12,'H2 Test Recorded Data'!$D$12)-1.5)))),1))</f>
        <v>1</v>
      </c>
      <c r="S214" s="621"/>
      <c r="T214" s="621"/>
      <c r="U214" s="621"/>
      <c r="V214" s="659"/>
      <c r="W214" s="622"/>
      <c r="X214" s="622"/>
      <c r="Y214" s="622"/>
      <c r="Z214" s="622"/>
      <c r="AA214" s="622"/>
      <c r="AB214" s="622"/>
      <c r="AC214" s="622"/>
      <c r="AD214" s="622"/>
      <c r="AE214" s="622"/>
      <c r="AF214" s="622"/>
      <c r="AG214" s="170"/>
    </row>
    <row r="215" spans="2:33" x14ac:dyDescent="0.35">
      <c r="B215" s="669">
        <f>IF(C215="","",Tables!A8)</f>
        <v>3</v>
      </c>
      <c r="C215" s="647">
        <f>IF(D215="","",Tables!B8)</f>
        <v>52</v>
      </c>
      <c r="D215" s="647">
        <f>IF(HLOOKUP($C$135,Tables!$A$1:$H$23,ROW()-206)=0,"",HLOOKUP($C$135,Tables!$A$1:$H$23,ROW()-206))</f>
        <v>9.2999999999999999E-2</v>
      </c>
      <c r="E215" s="647" t="e">
        <f t="shared" si="59"/>
        <v>#VALUE!</v>
      </c>
      <c r="F215" s="647" t="e">
        <f t="shared" si="60"/>
        <v>#VALUE!</v>
      </c>
      <c r="G215" s="647" t="e">
        <f t="shared" si="61"/>
        <v>#VALUE!</v>
      </c>
      <c r="H215" s="647" t="e">
        <f t="shared" si="62"/>
        <v>#VALUE!</v>
      </c>
      <c r="I215" s="647" t="e">
        <f t="shared" si="63"/>
        <v>#VALUE!</v>
      </c>
      <c r="J215" s="647">
        <f t="shared" si="64"/>
        <v>0</v>
      </c>
      <c r="K215" s="647">
        <f t="shared" si="65"/>
        <v>0</v>
      </c>
      <c r="L215" s="647" t="e">
        <f t="shared" si="66"/>
        <v>#VALUE!</v>
      </c>
      <c r="M215" s="647" t="e">
        <f t="shared" si="67"/>
        <v>#VALUE!</v>
      </c>
      <c r="N215" s="730" t="e">
        <f t="shared" si="68"/>
        <v>#VALUE!</v>
      </c>
      <c r="O215" s="730" t="e">
        <f t="shared" si="69"/>
        <v>#VALUE!</v>
      </c>
      <c r="P215" s="730" t="e">
        <f t="shared" si="70"/>
        <v>#VALUE!</v>
      </c>
      <c r="Q215" s="730" t="e">
        <f t="shared" si="58"/>
        <v>#VALUE!</v>
      </c>
      <c r="R215" s="730">
        <f>IF(B215="","",IF('General Info and Test Results'!$C$32="Yes",1+(0.03*(1-((MAX(1.5,'H2 Test Recorded Data'!$D$11)-1.5)/(MIN(12,'H2 Test Recorded Data'!$D$12)-1.5)))),1))</f>
        <v>1</v>
      </c>
      <c r="S215" s="621"/>
      <c r="T215" s="621"/>
      <c r="U215" s="621"/>
      <c r="V215" s="659"/>
      <c r="W215" s="622"/>
      <c r="X215" s="622"/>
      <c r="Y215" s="622"/>
      <c r="Z215" s="622"/>
      <c r="AA215" s="622"/>
      <c r="AB215" s="622"/>
      <c r="AC215" s="622"/>
      <c r="AD215" s="622"/>
      <c r="AE215" s="622"/>
      <c r="AF215" s="622"/>
      <c r="AG215" s="170"/>
    </row>
    <row r="216" spans="2:33" x14ac:dyDescent="0.35">
      <c r="B216" s="669">
        <f>IF(C216="","",Tables!A9)</f>
        <v>4</v>
      </c>
      <c r="C216" s="647">
        <f>IF(D216="","",Tables!B9)</f>
        <v>47</v>
      </c>
      <c r="D216" s="647">
        <f>IF(HLOOKUP($C$135,Tables!$A$1:$H$23,ROW()-206)=0,"",HLOOKUP($C$135,Tables!$A$1:$H$23,ROW()-206))</f>
        <v>0.1</v>
      </c>
      <c r="E216" s="647" t="e">
        <f t="shared" si="59"/>
        <v>#VALUE!</v>
      </c>
      <c r="F216" s="647" t="e">
        <f t="shared" si="60"/>
        <v>#VALUE!</v>
      </c>
      <c r="G216" s="647" t="e">
        <f t="shared" si="61"/>
        <v>#VALUE!</v>
      </c>
      <c r="H216" s="647" t="e">
        <f t="shared" si="62"/>
        <v>#VALUE!</v>
      </c>
      <c r="I216" s="647" t="e">
        <f t="shared" si="63"/>
        <v>#VALUE!</v>
      </c>
      <c r="J216" s="647">
        <f t="shared" si="64"/>
        <v>0</v>
      </c>
      <c r="K216" s="647">
        <f t="shared" si="65"/>
        <v>0</v>
      </c>
      <c r="L216" s="647" t="e">
        <f t="shared" si="66"/>
        <v>#VALUE!</v>
      </c>
      <c r="M216" s="647" t="e">
        <f t="shared" si="67"/>
        <v>#VALUE!</v>
      </c>
      <c r="N216" s="730" t="e">
        <f t="shared" si="68"/>
        <v>#VALUE!</v>
      </c>
      <c r="O216" s="730" t="e">
        <f t="shared" si="69"/>
        <v>#VALUE!</v>
      </c>
      <c r="P216" s="730" t="e">
        <f t="shared" si="70"/>
        <v>#VALUE!</v>
      </c>
      <c r="Q216" s="730" t="e">
        <f t="shared" si="58"/>
        <v>#VALUE!</v>
      </c>
      <c r="R216" s="730">
        <f>IF(B216="","",IF('General Info and Test Results'!$C$32="Yes",1+(0.03*(1-((MAX(1.5,'H2 Test Recorded Data'!$D$11)-1.5)/(MIN(12,'H2 Test Recorded Data'!$D$12)-1.5)))),1))</f>
        <v>1</v>
      </c>
      <c r="S216" s="621"/>
      <c r="T216" s="621"/>
      <c r="U216" s="621"/>
      <c r="V216" s="659"/>
      <c r="W216" s="622"/>
      <c r="X216" s="622"/>
      <c r="Y216" s="622"/>
      <c r="Z216" s="622"/>
      <c r="AA216" s="622"/>
      <c r="AB216" s="622"/>
      <c r="AC216" s="622"/>
      <c r="AD216" s="622"/>
      <c r="AE216" s="622"/>
      <c r="AF216" s="622"/>
      <c r="AG216" s="170"/>
    </row>
    <row r="217" spans="2:33" x14ac:dyDescent="0.35">
      <c r="B217" s="669">
        <f>IF(C217="","",Tables!A10)</f>
        <v>5</v>
      </c>
      <c r="C217" s="647">
        <f>IF(D217="","",Tables!B10)</f>
        <v>42</v>
      </c>
      <c r="D217" s="647">
        <f>IF(HLOOKUP($C$135,Tables!$A$1:$H$23,ROW()-206)=0,"",HLOOKUP($C$135,Tables!$A$1:$H$23,ROW()-206))</f>
        <v>0.109</v>
      </c>
      <c r="E217" s="647" t="e">
        <f t="shared" si="59"/>
        <v>#VALUE!</v>
      </c>
      <c r="F217" s="647" t="e">
        <f t="shared" si="60"/>
        <v>#VALUE!</v>
      </c>
      <c r="G217" s="647" t="e">
        <f t="shared" si="61"/>
        <v>#VALUE!</v>
      </c>
      <c r="H217" s="647" t="e">
        <f t="shared" si="62"/>
        <v>#VALUE!</v>
      </c>
      <c r="I217" s="647" t="e">
        <f t="shared" si="63"/>
        <v>#VALUE!</v>
      </c>
      <c r="J217" s="647">
        <f t="shared" si="64"/>
        <v>0</v>
      </c>
      <c r="K217" s="647">
        <f t="shared" si="65"/>
        <v>0</v>
      </c>
      <c r="L217" s="647" t="e">
        <f t="shared" si="66"/>
        <v>#VALUE!</v>
      </c>
      <c r="M217" s="647" t="e">
        <f t="shared" si="67"/>
        <v>#VALUE!</v>
      </c>
      <c r="N217" s="730" t="e">
        <f t="shared" si="68"/>
        <v>#VALUE!</v>
      </c>
      <c r="O217" s="730" t="e">
        <f t="shared" si="69"/>
        <v>#VALUE!</v>
      </c>
      <c r="P217" s="730" t="e">
        <f t="shared" si="70"/>
        <v>#VALUE!</v>
      </c>
      <c r="Q217" s="730" t="e">
        <f t="shared" si="58"/>
        <v>#VALUE!</v>
      </c>
      <c r="R217" s="730">
        <f>IF(B217="","",IF('General Info and Test Results'!$C$32="Yes",1+(0.03*(1-((MAX(1.5,'H2 Test Recorded Data'!$D$11)-1.5)/(MIN(12,'H2 Test Recorded Data'!$D$12)-1.5)))),1))</f>
        <v>1</v>
      </c>
      <c r="S217" s="621"/>
      <c r="T217" s="621"/>
      <c r="U217" s="621"/>
      <c r="V217" s="659"/>
      <c r="W217" s="622"/>
      <c r="X217" s="622"/>
      <c r="Y217" s="622"/>
      <c r="Z217" s="622"/>
      <c r="AA217" s="622"/>
      <c r="AB217" s="622"/>
      <c r="AC217" s="622"/>
      <c r="AD217" s="622"/>
      <c r="AE217" s="622"/>
      <c r="AF217" s="622"/>
      <c r="AG217" s="170"/>
    </row>
    <row r="218" spans="2:33" x14ac:dyDescent="0.35">
      <c r="B218" s="669">
        <f>IF(C218="","",Tables!A11)</f>
        <v>6</v>
      </c>
      <c r="C218" s="647">
        <f>IF(D218="","",Tables!B11)</f>
        <v>37</v>
      </c>
      <c r="D218" s="647">
        <f>IF(HLOOKUP($C$135,Tables!$A$1:$H$23,ROW()-206)=0,"",HLOOKUP($C$135,Tables!$A$1:$H$23,ROW()-206))</f>
        <v>0.126</v>
      </c>
      <c r="E218" s="647" t="e">
        <f t="shared" si="59"/>
        <v>#VALUE!</v>
      </c>
      <c r="F218" s="647" t="e">
        <f t="shared" si="60"/>
        <v>#VALUE!</v>
      </c>
      <c r="G218" s="647" t="e">
        <f t="shared" si="61"/>
        <v>#VALUE!</v>
      </c>
      <c r="H218" s="647" t="e">
        <f t="shared" si="62"/>
        <v>#VALUE!</v>
      </c>
      <c r="I218" s="647" t="e">
        <f t="shared" si="63"/>
        <v>#VALUE!</v>
      </c>
      <c r="J218" s="647">
        <f t="shared" si="64"/>
        <v>0</v>
      </c>
      <c r="K218" s="647">
        <f t="shared" si="65"/>
        <v>0</v>
      </c>
      <c r="L218" s="647" t="e">
        <f t="shared" si="66"/>
        <v>#VALUE!</v>
      </c>
      <c r="M218" s="647" t="e">
        <f t="shared" si="67"/>
        <v>#VALUE!</v>
      </c>
      <c r="N218" s="730" t="e">
        <f t="shared" si="68"/>
        <v>#VALUE!</v>
      </c>
      <c r="O218" s="730" t="e">
        <f t="shared" si="69"/>
        <v>#VALUE!</v>
      </c>
      <c r="P218" s="730" t="e">
        <f t="shared" si="70"/>
        <v>#VALUE!</v>
      </c>
      <c r="Q218" s="730" t="e">
        <f t="shared" si="58"/>
        <v>#VALUE!</v>
      </c>
      <c r="R218" s="730">
        <f>IF(B218="","",IF('General Info and Test Results'!$C$32="Yes",1+(0.03*(1-((MAX(1.5,'H2 Test Recorded Data'!$D$11)-1.5)/(MIN(12,'H2 Test Recorded Data'!$D$12)-1.5)))),1))</f>
        <v>1</v>
      </c>
      <c r="S218" s="621"/>
      <c r="T218" s="621"/>
      <c r="U218" s="621"/>
      <c r="V218" s="659"/>
      <c r="W218" s="622"/>
      <c r="X218" s="622"/>
      <c r="Y218" s="622"/>
      <c r="Z218" s="622"/>
      <c r="AA218" s="622"/>
      <c r="AB218" s="622"/>
      <c r="AC218" s="622"/>
      <c r="AD218" s="622"/>
      <c r="AE218" s="622"/>
      <c r="AF218" s="622"/>
      <c r="AG218" s="170"/>
    </row>
    <row r="219" spans="2:33" x14ac:dyDescent="0.35">
      <c r="B219" s="669">
        <f>IF(C219="","",Tables!A12)</f>
        <v>7</v>
      </c>
      <c r="C219" s="647">
        <f>IF(D219="","",Tables!B12)</f>
        <v>32</v>
      </c>
      <c r="D219" s="647">
        <f>IF(HLOOKUP($C$135,Tables!$A$1:$H$23,ROW()-206)=0,"",HLOOKUP($C$135,Tables!$A$1:$H$23,ROW()-206))</f>
        <v>8.6999999999999994E-2</v>
      </c>
      <c r="E219" s="647" t="e">
        <f t="shared" si="59"/>
        <v>#VALUE!</v>
      </c>
      <c r="F219" s="647" t="e">
        <f t="shared" si="60"/>
        <v>#VALUE!</v>
      </c>
      <c r="G219" s="647" t="e">
        <f t="shared" si="61"/>
        <v>#VALUE!</v>
      </c>
      <c r="H219" s="647" t="e">
        <f t="shared" si="62"/>
        <v>#VALUE!</v>
      </c>
      <c r="I219" s="647" t="e">
        <f t="shared" si="63"/>
        <v>#VALUE!</v>
      </c>
      <c r="J219" s="647">
        <f t="shared" si="64"/>
        <v>0</v>
      </c>
      <c r="K219" s="647">
        <f t="shared" si="65"/>
        <v>0</v>
      </c>
      <c r="L219" s="647" t="e">
        <f t="shared" si="66"/>
        <v>#VALUE!</v>
      </c>
      <c r="M219" s="647" t="e">
        <f t="shared" si="67"/>
        <v>#VALUE!</v>
      </c>
      <c r="N219" s="730" t="e">
        <f t="shared" si="68"/>
        <v>#VALUE!</v>
      </c>
      <c r="O219" s="730" t="e">
        <f t="shared" si="69"/>
        <v>#VALUE!</v>
      </c>
      <c r="P219" s="730" t="e">
        <f t="shared" si="70"/>
        <v>#VALUE!</v>
      </c>
      <c r="Q219" s="730" t="e">
        <f t="shared" si="58"/>
        <v>#VALUE!</v>
      </c>
      <c r="R219" s="730">
        <f>IF(B219="","",IF('General Info and Test Results'!$C$32="Yes",1+(0.03*(1-((MAX(1.5,'H2 Test Recorded Data'!$D$11)-1.5)/(MIN(12,'H2 Test Recorded Data'!$D$12)-1.5)))),1))</f>
        <v>1</v>
      </c>
      <c r="S219" s="621"/>
      <c r="T219" s="621"/>
      <c r="U219" s="621"/>
      <c r="V219" s="659"/>
      <c r="W219" s="622"/>
      <c r="X219" s="622"/>
      <c r="Y219" s="622"/>
      <c r="Z219" s="622"/>
      <c r="AA219" s="622"/>
      <c r="AB219" s="622"/>
      <c r="AC219" s="622"/>
      <c r="AD219" s="622"/>
      <c r="AE219" s="622"/>
      <c r="AF219" s="622"/>
      <c r="AG219" s="170"/>
    </row>
    <row r="220" spans="2:33" x14ac:dyDescent="0.35">
      <c r="B220" s="669">
        <f>IF(C220="","",Tables!A13)</f>
        <v>8</v>
      </c>
      <c r="C220" s="647">
        <f>IF(D220="","",Tables!B13)</f>
        <v>27</v>
      </c>
      <c r="D220" s="647">
        <f>IF(HLOOKUP($C$135,Tables!$A$1:$H$23,ROW()-206)=0,"",HLOOKUP($C$135,Tables!$A$1:$H$23,ROW()-206))</f>
        <v>5.5E-2</v>
      </c>
      <c r="E220" s="647" t="e">
        <f t="shared" si="59"/>
        <v>#VALUE!</v>
      </c>
      <c r="F220" s="647" t="e">
        <f t="shared" si="60"/>
        <v>#VALUE!</v>
      </c>
      <c r="G220" s="647" t="e">
        <f t="shared" si="61"/>
        <v>#VALUE!</v>
      </c>
      <c r="H220" s="647" t="e">
        <f t="shared" si="62"/>
        <v>#VALUE!</v>
      </c>
      <c r="I220" s="647" t="e">
        <f t="shared" si="63"/>
        <v>#VALUE!</v>
      </c>
      <c r="J220" s="647">
        <f t="shared" si="64"/>
        <v>0</v>
      </c>
      <c r="K220" s="647">
        <f t="shared" si="65"/>
        <v>0</v>
      </c>
      <c r="L220" s="647" t="e">
        <f t="shared" si="66"/>
        <v>#VALUE!</v>
      </c>
      <c r="M220" s="647" t="e">
        <f t="shared" si="67"/>
        <v>#VALUE!</v>
      </c>
      <c r="N220" s="730" t="e">
        <f t="shared" si="68"/>
        <v>#VALUE!</v>
      </c>
      <c r="O220" s="730" t="e">
        <f t="shared" si="69"/>
        <v>#VALUE!</v>
      </c>
      <c r="P220" s="730" t="e">
        <f t="shared" si="70"/>
        <v>#VALUE!</v>
      </c>
      <c r="Q220" s="730" t="e">
        <f t="shared" si="58"/>
        <v>#VALUE!</v>
      </c>
      <c r="R220" s="730">
        <f>IF(B220="","",IF('General Info and Test Results'!$C$32="Yes",1+(0.03*(1-((MAX(1.5,'H2 Test Recorded Data'!$D$11)-1.5)/(MIN(12,'H2 Test Recorded Data'!$D$12)-1.5)))),1))</f>
        <v>1</v>
      </c>
      <c r="S220" s="621"/>
      <c r="T220" s="621"/>
      <c r="U220" s="621"/>
      <c r="V220" s="659"/>
      <c r="W220" s="622"/>
      <c r="X220" s="622"/>
      <c r="Y220" s="622"/>
      <c r="Z220" s="622"/>
      <c r="AA220" s="622"/>
      <c r="AB220" s="622"/>
      <c r="AC220" s="622"/>
      <c r="AD220" s="622"/>
      <c r="AE220" s="622"/>
      <c r="AF220" s="622"/>
      <c r="AG220" s="170"/>
    </row>
    <row r="221" spans="2:33" x14ac:dyDescent="0.35">
      <c r="B221" s="669">
        <f>IF(C221="","",Tables!A14)</f>
        <v>9</v>
      </c>
      <c r="C221" s="647">
        <f>IF(D221="","",Tables!B14)</f>
        <v>22</v>
      </c>
      <c r="D221" s="647">
        <f>IF(HLOOKUP($C$135,Tables!$A$1:$H$23,ROW()-206)=0,"",HLOOKUP($C$135,Tables!$A$1:$H$23,ROW()-206))</f>
        <v>3.5999999999999997E-2</v>
      </c>
      <c r="E221" s="647" t="e">
        <f t="shared" si="59"/>
        <v>#VALUE!</v>
      </c>
      <c r="F221" s="647" t="e">
        <f t="shared" si="60"/>
        <v>#VALUE!</v>
      </c>
      <c r="G221" s="647" t="e">
        <f t="shared" si="61"/>
        <v>#VALUE!</v>
      </c>
      <c r="H221" s="647" t="e">
        <f t="shared" si="62"/>
        <v>#VALUE!</v>
      </c>
      <c r="I221" s="647" t="e">
        <f t="shared" si="63"/>
        <v>#VALUE!</v>
      </c>
      <c r="J221" s="647">
        <f t="shared" si="64"/>
        <v>0</v>
      </c>
      <c r="K221" s="647">
        <f t="shared" si="65"/>
        <v>0</v>
      </c>
      <c r="L221" s="647" t="e">
        <f t="shared" si="66"/>
        <v>#VALUE!</v>
      </c>
      <c r="M221" s="647" t="e">
        <f t="shared" si="67"/>
        <v>#VALUE!</v>
      </c>
      <c r="N221" s="730" t="e">
        <f t="shared" si="68"/>
        <v>#VALUE!</v>
      </c>
      <c r="O221" s="730" t="e">
        <f t="shared" si="69"/>
        <v>#VALUE!</v>
      </c>
      <c r="P221" s="730" t="e">
        <f t="shared" si="70"/>
        <v>#VALUE!</v>
      </c>
      <c r="Q221" s="730" t="e">
        <f t="shared" si="58"/>
        <v>#VALUE!</v>
      </c>
      <c r="R221" s="730">
        <f>IF(B221="","",IF('General Info and Test Results'!$C$32="Yes",1+(0.03*(1-((MAX(1.5,'H2 Test Recorded Data'!$D$11)-1.5)/(MIN(12,'H2 Test Recorded Data'!$D$12)-1.5)))),1))</f>
        <v>1</v>
      </c>
      <c r="S221" s="621"/>
      <c r="T221" s="621"/>
      <c r="U221" s="621"/>
      <c r="V221" s="659"/>
      <c r="W221" s="622"/>
      <c r="X221" s="622"/>
      <c r="Y221" s="622"/>
      <c r="Z221" s="622"/>
      <c r="AA221" s="622"/>
      <c r="AB221" s="622"/>
      <c r="AC221" s="622"/>
      <c r="AD221" s="622"/>
      <c r="AE221" s="622"/>
      <c r="AF221" s="622"/>
      <c r="AG221" s="170"/>
    </row>
    <row r="222" spans="2:33" x14ac:dyDescent="0.35">
      <c r="B222" s="669">
        <f>IF(C222="","",Tables!A15)</f>
        <v>10</v>
      </c>
      <c r="C222" s="647">
        <f>IF(D222="","",Tables!B15)</f>
        <v>17</v>
      </c>
      <c r="D222" s="647">
        <f>IF(HLOOKUP($C$135,Tables!$A$1:$H$23,ROW()-206)=0,"",HLOOKUP($C$135,Tables!$A$1:$H$23,ROW()-206))</f>
        <v>2.5999999999999999E-2</v>
      </c>
      <c r="E222" s="647" t="e">
        <f t="shared" si="59"/>
        <v>#VALUE!</v>
      </c>
      <c r="F222" s="647" t="e">
        <f t="shared" si="60"/>
        <v>#VALUE!</v>
      </c>
      <c r="G222" s="647" t="e">
        <f t="shared" si="61"/>
        <v>#VALUE!</v>
      </c>
      <c r="H222" s="647" t="e">
        <f t="shared" si="62"/>
        <v>#VALUE!</v>
      </c>
      <c r="I222" s="647" t="e">
        <f t="shared" si="63"/>
        <v>#VALUE!</v>
      </c>
      <c r="J222" s="647">
        <f t="shared" si="64"/>
        <v>0</v>
      </c>
      <c r="K222" s="647">
        <f t="shared" si="65"/>
        <v>0</v>
      </c>
      <c r="L222" s="647" t="e">
        <f t="shared" si="66"/>
        <v>#VALUE!</v>
      </c>
      <c r="M222" s="647" t="e">
        <f t="shared" si="67"/>
        <v>#VALUE!</v>
      </c>
      <c r="N222" s="730" t="e">
        <f t="shared" si="68"/>
        <v>#VALUE!</v>
      </c>
      <c r="O222" s="730" t="e">
        <f t="shared" si="69"/>
        <v>#VALUE!</v>
      </c>
      <c r="P222" s="730" t="e">
        <f t="shared" si="70"/>
        <v>#VALUE!</v>
      </c>
      <c r="Q222" s="730" t="e">
        <f t="shared" si="58"/>
        <v>#VALUE!</v>
      </c>
      <c r="R222" s="730">
        <f>IF(B222="","",IF('General Info and Test Results'!$C$32="Yes",1+(0.03*(1-((MAX(1.5,'H2 Test Recorded Data'!$D$11)-1.5)/(MIN(12,'H2 Test Recorded Data'!$D$12)-1.5)))),1))</f>
        <v>1</v>
      </c>
      <c r="S222" s="621"/>
      <c r="T222" s="621"/>
      <c r="U222" s="621"/>
      <c r="V222" s="659"/>
      <c r="W222" s="622"/>
      <c r="X222" s="622"/>
      <c r="Y222" s="622"/>
      <c r="Z222" s="622"/>
      <c r="AA222" s="622"/>
      <c r="AB222" s="622"/>
      <c r="AC222" s="622"/>
      <c r="AD222" s="622"/>
      <c r="AE222" s="622"/>
      <c r="AF222" s="622"/>
      <c r="AG222" s="170"/>
    </row>
    <row r="223" spans="2:33" x14ac:dyDescent="0.35">
      <c r="B223" s="669">
        <f>IF(C223="","",Tables!A16)</f>
        <v>11</v>
      </c>
      <c r="C223" s="647">
        <f>IF(D223="","",Tables!B16)</f>
        <v>12</v>
      </c>
      <c r="D223" s="647">
        <f>IF(HLOOKUP($C$135,Tables!$A$1:$H$23,ROW()-206)=0,"",HLOOKUP($C$135,Tables!$A$1:$H$23,ROW()-206))</f>
        <v>1.2999999999999999E-2</v>
      </c>
      <c r="E223" s="647" t="e">
        <f t="shared" si="59"/>
        <v>#VALUE!</v>
      </c>
      <c r="F223" s="647" t="e">
        <f t="shared" si="60"/>
        <v>#VALUE!</v>
      </c>
      <c r="G223" s="647" t="e">
        <f t="shared" si="61"/>
        <v>#VALUE!</v>
      </c>
      <c r="H223" s="647" t="e">
        <f t="shared" si="62"/>
        <v>#VALUE!</v>
      </c>
      <c r="I223" s="647" t="e">
        <f t="shared" si="63"/>
        <v>#VALUE!</v>
      </c>
      <c r="J223" s="647">
        <f t="shared" si="64"/>
        <v>0</v>
      </c>
      <c r="K223" s="647">
        <f t="shared" si="65"/>
        <v>0</v>
      </c>
      <c r="L223" s="647" t="e">
        <f t="shared" si="66"/>
        <v>#VALUE!</v>
      </c>
      <c r="M223" s="647" t="e">
        <f t="shared" si="67"/>
        <v>#VALUE!</v>
      </c>
      <c r="N223" s="730" t="e">
        <f t="shared" si="68"/>
        <v>#VALUE!</v>
      </c>
      <c r="O223" s="730" t="e">
        <f t="shared" si="69"/>
        <v>#VALUE!</v>
      </c>
      <c r="P223" s="730" t="e">
        <f t="shared" si="70"/>
        <v>#VALUE!</v>
      </c>
      <c r="Q223" s="730" t="e">
        <f t="shared" si="58"/>
        <v>#VALUE!</v>
      </c>
      <c r="R223" s="730">
        <f>IF(B223="","",IF('General Info and Test Results'!$C$32="Yes",1+(0.03*(1-((MAX(1.5,'H2 Test Recorded Data'!$D$11)-1.5)/(MIN(12,'H2 Test Recorded Data'!$D$12)-1.5)))),1))</f>
        <v>1</v>
      </c>
      <c r="S223" s="621"/>
      <c r="T223" s="621"/>
      <c r="U223" s="621"/>
      <c r="V223" s="659"/>
      <c r="W223" s="622"/>
      <c r="X223" s="622"/>
      <c r="Y223" s="622"/>
      <c r="Z223" s="622"/>
      <c r="AA223" s="622"/>
      <c r="AB223" s="622"/>
      <c r="AC223" s="622"/>
      <c r="AD223" s="622"/>
      <c r="AE223" s="622"/>
      <c r="AF223" s="622"/>
      <c r="AG223" s="170"/>
    </row>
    <row r="224" spans="2:33" x14ac:dyDescent="0.35">
      <c r="B224" s="669">
        <f>IF(C224="","",Tables!A17)</f>
        <v>12</v>
      </c>
      <c r="C224" s="647">
        <f>IF(D224="","",Tables!B17)</f>
        <v>7</v>
      </c>
      <c r="D224" s="647">
        <f>IF(HLOOKUP($C$135,Tables!$A$1:$H$23,ROW()-206)=0,"",HLOOKUP($C$135,Tables!$A$1:$H$23,ROW()-206))</f>
        <v>6.0000000000000001E-3</v>
      </c>
      <c r="E224" s="647" t="e">
        <f t="shared" si="59"/>
        <v>#VALUE!</v>
      </c>
      <c r="F224" s="647" t="e">
        <f t="shared" si="60"/>
        <v>#VALUE!</v>
      </c>
      <c r="G224" s="647" t="e">
        <f t="shared" si="61"/>
        <v>#VALUE!</v>
      </c>
      <c r="H224" s="647" t="e">
        <f t="shared" si="62"/>
        <v>#VALUE!</v>
      </c>
      <c r="I224" s="647" t="e">
        <f t="shared" si="63"/>
        <v>#VALUE!</v>
      </c>
      <c r="J224" s="647">
        <f t="shared" si="64"/>
        <v>0</v>
      </c>
      <c r="K224" s="647">
        <f t="shared" si="65"/>
        <v>0</v>
      </c>
      <c r="L224" s="647" t="e">
        <f t="shared" si="66"/>
        <v>#VALUE!</v>
      </c>
      <c r="M224" s="647" t="e">
        <f t="shared" si="67"/>
        <v>#VALUE!</v>
      </c>
      <c r="N224" s="730" t="e">
        <f t="shared" si="68"/>
        <v>#VALUE!</v>
      </c>
      <c r="O224" s="730" t="e">
        <f t="shared" si="69"/>
        <v>#VALUE!</v>
      </c>
      <c r="P224" s="730" t="e">
        <f t="shared" si="70"/>
        <v>#VALUE!</v>
      </c>
      <c r="Q224" s="730" t="e">
        <f t="shared" si="58"/>
        <v>#VALUE!</v>
      </c>
      <c r="R224" s="730">
        <f>IF(B224="","",IF('General Info and Test Results'!$C$32="Yes",1+(0.03*(1-((MAX(1.5,'H2 Test Recorded Data'!$D$11)-1.5)/(MIN(12,'H2 Test Recorded Data'!$D$12)-1.5)))),1))</f>
        <v>1</v>
      </c>
      <c r="S224" s="621"/>
      <c r="T224" s="621"/>
      <c r="U224" s="621"/>
      <c r="V224" s="659"/>
      <c r="W224" s="622"/>
      <c r="X224" s="622"/>
      <c r="Y224" s="622"/>
      <c r="Z224" s="622"/>
      <c r="AA224" s="622"/>
      <c r="AB224" s="622"/>
      <c r="AC224" s="622"/>
      <c r="AD224" s="622"/>
      <c r="AE224" s="622"/>
      <c r="AF224" s="622"/>
      <c r="AG224" s="170"/>
    </row>
    <row r="225" spans="2:33" x14ac:dyDescent="0.35">
      <c r="B225" s="669">
        <f>IF(C225="","",Tables!A18)</f>
        <v>13</v>
      </c>
      <c r="C225" s="647">
        <f>IF(D225="","",Tables!B18)</f>
        <v>2</v>
      </c>
      <c r="D225" s="647">
        <f>IF(HLOOKUP($C$135,Tables!$A$1:$H$23,ROW()-206)=0,"",HLOOKUP($C$135,Tables!$A$1:$H$23,ROW()-206))</f>
        <v>2E-3</v>
      </c>
      <c r="E225" s="647" t="e">
        <f t="shared" si="59"/>
        <v>#VALUE!</v>
      </c>
      <c r="F225" s="647" t="e">
        <f t="shared" si="60"/>
        <v>#VALUE!</v>
      </c>
      <c r="G225" s="647" t="e">
        <f t="shared" si="61"/>
        <v>#VALUE!</v>
      </c>
      <c r="H225" s="647" t="e">
        <f t="shared" si="62"/>
        <v>#VALUE!</v>
      </c>
      <c r="I225" s="647" t="e">
        <f t="shared" si="63"/>
        <v>#VALUE!</v>
      </c>
      <c r="J225" s="647">
        <f t="shared" si="64"/>
        <v>0</v>
      </c>
      <c r="K225" s="647">
        <f t="shared" si="65"/>
        <v>0</v>
      </c>
      <c r="L225" s="647" t="e">
        <f t="shared" si="66"/>
        <v>#VALUE!</v>
      </c>
      <c r="M225" s="647" t="e">
        <f t="shared" si="67"/>
        <v>#VALUE!</v>
      </c>
      <c r="N225" s="730" t="e">
        <f t="shared" si="68"/>
        <v>#VALUE!</v>
      </c>
      <c r="O225" s="730" t="e">
        <f t="shared" si="69"/>
        <v>#VALUE!</v>
      </c>
      <c r="P225" s="730" t="e">
        <f t="shared" si="70"/>
        <v>#VALUE!</v>
      </c>
      <c r="Q225" s="730" t="e">
        <f t="shared" si="58"/>
        <v>#VALUE!</v>
      </c>
      <c r="R225" s="730">
        <f>IF(B225="","",IF('General Info and Test Results'!$C$32="Yes",1+(0.03*(1-((MAX(1.5,'H2 Test Recorded Data'!$D$11)-1.5)/(MIN(12,'H2 Test Recorded Data'!$D$12)-1.5)))),1))</f>
        <v>1</v>
      </c>
      <c r="S225" s="621"/>
      <c r="T225" s="621"/>
      <c r="U225" s="621"/>
      <c r="V225" s="659"/>
      <c r="W225" s="622"/>
      <c r="X225" s="622"/>
      <c r="Y225" s="622"/>
      <c r="Z225" s="622"/>
      <c r="AA225" s="622"/>
      <c r="AB225" s="622"/>
      <c r="AC225" s="622"/>
      <c r="AD225" s="622"/>
      <c r="AE225" s="622"/>
      <c r="AF225" s="622"/>
      <c r="AG225" s="170"/>
    </row>
    <row r="226" spans="2:33" x14ac:dyDescent="0.35">
      <c r="B226" s="669">
        <f>IF(C226="","",Tables!A19)</f>
        <v>14</v>
      </c>
      <c r="C226" s="647">
        <f>IF(D226="","",Tables!B19)</f>
        <v>-3</v>
      </c>
      <c r="D226" s="647">
        <f>IF(HLOOKUP($C$135,Tables!$A$1:$H$23,ROW()-206)=0,"",HLOOKUP($C$135,Tables!$A$1:$H$23,ROW()-206))</f>
        <v>1E-3</v>
      </c>
      <c r="E226" s="647" t="e">
        <f t="shared" si="59"/>
        <v>#VALUE!</v>
      </c>
      <c r="F226" s="647" t="e">
        <f t="shared" si="60"/>
        <v>#VALUE!</v>
      </c>
      <c r="G226" s="647" t="e">
        <f t="shared" si="61"/>
        <v>#VALUE!</v>
      </c>
      <c r="H226" s="647" t="e">
        <f t="shared" si="62"/>
        <v>#VALUE!</v>
      </c>
      <c r="I226" s="647" t="e">
        <f t="shared" si="63"/>
        <v>#VALUE!</v>
      </c>
      <c r="J226" s="647">
        <f t="shared" si="64"/>
        <v>0</v>
      </c>
      <c r="K226" s="647">
        <f t="shared" si="65"/>
        <v>0</v>
      </c>
      <c r="L226" s="647" t="e">
        <f t="shared" si="66"/>
        <v>#VALUE!</v>
      </c>
      <c r="M226" s="647" t="e">
        <f t="shared" si="67"/>
        <v>#VALUE!</v>
      </c>
      <c r="N226" s="730" t="e">
        <f t="shared" si="68"/>
        <v>#VALUE!</v>
      </c>
      <c r="O226" s="730" t="e">
        <f t="shared" si="69"/>
        <v>#VALUE!</v>
      </c>
      <c r="P226" s="730" t="e">
        <f t="shared" si="70"/>
        <v>#VALUE!</v>
      </c>
      <c r="Q226" s="730" t="e">
        <f t="shared" si="58"/>
        <v>#VALUE!</v>
      </c>
      <c r="R226" s="730">
        <f>IF(B226="","",IF('General Info and Test Results'!$C$32="Yes",1+(0.03*(1-((MAX(1.5,'H2 Test Recorded Data'!$D$11)-1.5)/(MIN(12,'H2 Test Recorded Data'!$D$12)-1.5)))),1))</f>
        <v>1</v>
      </c>
      <c r="S226" s="621"/>
      <c r="T226" s="621"/>
      <c r="U226" s="621"/>
      <c r="V226" s="659"/>
      <c r="W226" s="622"/>
      <c r="X226" s="622"/>
      <c r="Y226" s="622"/>
      <c r="Z226" s="622"/>
      <c r="AA226" s="622"/>
      <c r="AB226" s="622"/>
      <c r="AC226" s="622"/>
      <c r="AD226" s="622"/>
      <c r="AE226" s="622"/>
      <c r="AF226" s="622"/>
      <c r="AG226" s="170"/>
    </row>
    <row r="227" spans="2:33" x14ac:dyDescent="0.35">
      <c r="B227" s="669" t="str">
        <f>IF(C227="","",Tables!A20)</f>
        <v/>
      </c>
      <c r="C227" s="647" t="str">
        <f>IF(D227="","",Tables!B20)</f>
        <v/>
      </c>
      <c r="D227" s="647" t="str">
        <f>IF(HLOOKUP($C$135,Tables!$A$1:$H$23,ROW()-206)=0,"",HLOOKUP($C$135,Tables!$A$1:$H$23,ROW()-206))</f>
        <v/>
      </c>
      <c r="E227" s="647" t="str">
        <f t="shared" si="59"/>
        <v/>
      </c>
      <c r="F227" s="647" t="str">
        <f t="shared" si="60"/>
        <v/>
      </c>
      <c r="G227" s="647" t="str">
        <f t="shared" si="61"/>
        <v/>
      </c>
      <c r="H227" s="647" t="str">
        <f t="shared" si="62"/>
        <v/>
      </c>
      <c r="I227" s="647" t="str">
        <f t="shared" si="63"/>
        <v/>
      </c>
      <c r="J227" s="647" t="str">
        <f t="shared" si="64"/>
        <v/>
      </c>
      <c r="K227" s="647" t="str">
        <f t="shared" si="65"/>
        <v/>
      </c>
      <c r="L227" s="647" t="str">
        <f t="shared" si="66"/>
        <v/>
      </c>
      <c r="M227" s="647" t="str">
        <f t="shared" si="67"/>
        <v/>
      </c>
      <c r="N227" s="730" t="str">
        <f t="shared" si="68"/>
        <v/>
      </c>
      <c r="O227" s="730" t="str">
        <f t="shared" si="69"/>
        <v/>
      </c>
      <c r="P227" s="730" t="str">
        <f t="shared" si="70"/>
        <v/>
      </c>
      <c r="Q227" s="730" t="str">
        <f t="shared" si="58"/>
        <v/>
      </c>
      <c r="R227" s="730" t="str">
        <f>IF(B227="","",IF('General Info and Test Results'!$C$32="Yes",1+(0.03*(1-((MAX(1.5,'H2 Test Recorded Data'!$D$11)-1.5)/(MIN(12,'H2 Test Recorded Data'!$D$12)-1.5)))),1))</f>
        <v/>
      </c>
      <c r="S227" s="621"/>
      <c r="T227" s="621"/>
      <c r="U227" s="621"/>
      <c r="V227" s="659"/>
      <c r="W227" s="622"/>
      <c r="X227" s="622"/>
      <c r="Y227" s="622"/>
      <c r="Z227" s="622"/>
      <c r="AA227" s="622"/>
      <c r="AB227" s="622"/>
      <c r="AC227" s="622"/>
      <c r="AD227" s="622"/>
      <c r="AE227" s="622"/>
      <c r="AF227" s="622"/>
      <c r="AG227" s="170"/>
    </row>
    <row r="228" spans="2:33" x14ac:dyDescent="0.35">
      <c r="B228" s="669" t="str">
        <f>IF(C228="","",Tables!A21)</f>
        <v/>
      </c>
      <c r="C228" s="647" t="str">
        <f>IF(D228="","",Tables!B21)</f>
        <v/>
      </c>
      <c r="D228" s="647" t="str">
        <f>IF(HLOOKUP($C$135,Tables!$A$1:$H$23,ROW()-206)=0,"",HLOOKUP($C$135,Tables!$A$1:$H$23,ROW()-206))</f>
        <v/>
      </c>
      <c r="E228" s="647" t="str">
        <f t="shared" si="59"/>
        <v/>
      </c>
      <c r="F228" s="647" t="str">
        <f t="shared" si="60"/>
        <v/>
      </c>
      <c r="G228" s="647" t="str">
        <f t="shared" si="61"/>
        <v/>
      </c>
      <c r="H228" s="647" t="str">
        <f t="shared" si="62"/>
        <v/>
      </c>
      <c r="I228" s="647" t="str">
        <f t="shared" si="63"/>
        <v/>
      </c>
      <c r="J228" s="647" t="str">
        <f t="shared" si="64"/>
        <v/>
      </c>
      <c r="K228" s="647" t="str">
        <f t="shared" si="65"/>
        <v/>
      </c>
      <c r="L228" s="647" t="str">
        <f t="shared" si="66"/>
        <v/>
      </c>
      <c r="M228" s="647" t="str">
        <f t="shared" si="67"/>
        <v/>
      </c>
      <c r="N228" s="730" t="str">
        <f t="shared" si="68"/>
        <v/>
      </c>
      <c r="O228" s="730" t="str">
        <f t="shared" si="69"/>
        <v/>
      </c>
      <c r="P228" s="730" t="str">
        <f t="shared" si="70"/>
        <v/>
      </c>
      <c r="Q228" s="730" t="str">
        <f t="shared" si="58"/>
        <v/>
      </c>
      <c r="R228" s="730" t="str">
        <f>IF(B228="","",IF('General Info and Test Results'!$C$32="Yes",1+(0.03*(1-((MAX(1.5,'H2 Test Recorded Data'!$D$11)-1.5)/(MIN(12,'H2 Test Recorded Data'!$D$12)-1.5)))),1))</f>
        <v/>
      </c>
      <c r="S228" s="621"/>
      <c r="T228" s="621"/>
      <c r="U228" s="621"/>
      <c r="V228" s="659"/>
      <c r="W228" s="622"/>
      <c r="X228" s="622"/>
      <c r="Y228" s="622"/>
      <c r="Z228" s="622"/>
      <c r="AA228" s="622"/>
      <c r="AB228" s="622"/>
      <c r="AC228" s="622"/>
      <c r="AD228" s="622"/>
      <c r="AE228" s="622"/>
      <c r="AF228" s="622"/>
      <c r="AG228" s="170"/>
    </row>
    <row r="229" spans="2:33" x14ac:dyDescent="0.35">
      <c r="B229" s="669" t="str">
        <f>IF(C229="","",Tables!A22)</f>
        <v/>
      </c>
      <c r="C229" s="647" t="str">
        <f>IF(D229="","",Tables!B22)</f>
        <v/>
      </c>
      <c r="D229" s="647" t="str">
        <f>IF(HLOOKUP($C$135,Tables!$A$1:$H$23,ROW()-206)=0,"",HLOOKUP($C$135,Tables!$A$1:$H$23,ROW()-206))</f>
        <v/>
      </c>
      <c r="E229" s="647" t="str">
        <f t="shared" si="59"/>
        <v/>
      </c>
      <c r="F229" s="647" t="str">
        <f t="shared" si="60"/>
        <v/>
      </c>
      <c r="G229" s="647" t="str">
        <f t="shared" si="61"/>
        <v/>
      </c>
      <c r="H229" s="647" t="str">
        <f t="shared" si="62"/>
        <v/>
      </c>
      <c r="I229" s="647" t="str">
        <f t="shared" si="63"/>
        <v/>
      </c>
      <c r="J229" s="647" t="str">
        <f t="shared" si="64"/>
        <v/>
      </c>
      <c r="K229" s="647" t="str">
        <f t="shared" si="65"/>
        <v/>
      </c>
      <c r="L229" s="647" t="str">
        <f t="shared" si="66"/>
        <v/>
      </c>
      <c r="M229" s="647" t="str">
        <f t="shared" si="67"/>
        <v/>
      </c>
      <c r="N229" s="730" t="str">
        <f t="shared" si="68"/>
        <v/>
      </c>
      <c r="O229" s="730" t="str">
        <f t="shared" si="69"/>
        <v/>
      </c>
      <c r="P229" s="730" t="str">
        <f t="shared" si="70"/>
        <v/>
      </c>
      <c r="Q229" s="730" t="str">
        <f t="shared" si="58"/>
        <v/>
      </c>
      <c r="R229" s="730" t="str">
        <f>IF(B229="","",IF('General Info and Test Results'!$C$32="Yes",1+(0.03*(1-((MAX(1.5,'H2 Test Recorded Data'!$D$11)-1.5)/(MIN(12,'H2 Test Recorded Data'!$D$12)-1.5)))),1))</f>
        <v/>
      </c>
      <c r="S229" s="621"/>
      <c r="T229" s="621"/>
      <c r="U229" s="621"/>
      <c r="V229" s="659"/>
      <c r="W229" s="622"/>
      <c r="X229" s="622"/>
      <c r="Y229" s="622"/>
      <c r="Z229" s="622"/>
      <c r="AA229" s="622"/>
      <c r="AB229" s="622"/>
      <c r="AC229" s="622"/>
      <c r="AD229" s="622"/>
      <c r="AE229" s="622"/>
      <c r="AF229" s="622"/>
      <c r="AG229" s="170"/>
    </row>
    <row r="230" spans="2:33" x14ac:dyDescent="0.35">
      <c r="B230" s="669" t="e">
        <f>IF(C230="","",Tables!A23)</f>
        <v>#REF!</v>
      </c>
      <c r="C230" s="647" t="e">
        <f>IF(D230="","",Tables!B23)</f>
        <v>#REF!</v>
      </c>
      <c r="D230" s="647" t="e">
        <f>IF(HLOOKUP($C$135,Tables!$A$1:$H$23,ROW()-206)=0,"",HLOOKUP($C$135,Tables!$A$1:$H$23,ROW()-206))</f>
        <v>#REF!</v>
      </c>
      <c r="E230" s="647" t="e">
        <f t="shared" si="59"/>
        <v>#REF!</v>
      </c>
      <c r="F230" s="647" t="e">
        <f t="shared" si="60"/>
        <v>#REF!</v>
      </c>
      <c r="G230" s="647" t="e">
        <f t="shared" si="61"/>
        <v>#REF!</v>
      </c>
      <c r="H230" s="647" t="e">
        <f t="shared" si="62"/>
        <v>#REF!</v>
      </c>
      <c r="I230" s="647" t="e">
        <f t="shared" si="63"/>
        <v>#REF!</v>
      </c>
      <c r="J230" s="647" t="e">
        <f t="shared" si="64"/>
        <v>#REF!</v>
      </c>
      <c r="K230" s="647" t="e">
        <f t="shared" si="65"/>
        <v>#REF!</v>
      </c>
      <c r="L230" s="647" t="e">
        <f t="shared" si="66"/>
        <v>#REF!</v>
      </c>
      <c r="M230" s="647" t="e">
        <f>IF(D230="","",IF(OR(F230&gt;=E230,AND(F230&lt;E230,G230&gt;E230),AND(G230&gt;E230,$F$209="Yes",$H$209&gt;=C230)),IF(C230&lt;=$C$140,0,IF(C230&gt;$C$138,1,0.5)),IF(OR(C230&lt;=$C$140,L230&lt;1),0,IF(AND(C230&gt;$C$140,C230&lt;=$C$138,L230&gt;=1),0.5,1))))</f>
        <v>#REF!</v>
      </c>
      <c r="N230" s="730" t="e">
        <f t="shared" si="68"/>
        <v>#REF!</v>
      </c>
      <c r="O230" s="730" t="e">
        <f t="shared" si="69"/>
        <v>#REF!</v>
      </c>
      <c r="P230" s="730" t="e">
        <f t="shared" si="70"/>
        <v>#REF!</v>
      </c>
      <c r="Q230" s="730" t="e">
        <f t="shared" si="58"/>
        <v>#REF!</v>
      </c>
      <c r="R230" s="730" t="e">
        <f>IF(B230="","",IF('General Info and Test Results'!$C$32="Yes",1+(0.03*(1-((MAX(1.5,'H2 Test Recorded Data'!$D$11)-1.5)/(MIN(12,'H2 Test Recorded Data'!$D$12)-1.5)))),1))</f>
        <v>#REF!</v>
      </c>
      <c r="S230" s="621"/>
      <c r="T230" s="621"/>
      <c r="U230" s="621"/>
      <c r="V230" s="659"/>
      <c r="W230" s="622"/>
      <c r="X230" s="622"/>
      <c r="Y230" s="622"/>
      <c r="Z230" s="622"/>
      <c r="AA230" s="622"/>
      <c r="AB230" s="622"/>
      <c r="AC230" s="622"/>
      <c r="AD230" s="622"/>
      <c r="AE230" s="622"/>
      <c r="AF230" s="622"/>
      <c r="AG230" s="170"/>
    </row>
    <row r="231" spans="2:33" x14ac:dyDescent="0.35">
      <c r="B231" s="658"/>
      <c r="C231" s="650"/>
      <c r="D231" s="650"/>
      <c r="E231" s="650"/>
      <c r="F231" s="650"/>
      <c r="G231" s="650"/>
      <c r="H231" s="650"/>
      <c r="I231" s="650"/>
      <c r="J231" s="650"/>
      <c r="K231" s="650"/>
      <c r="L231" s="650"/>
      <c r="M231" s="650"/>
      <c r="N231" s="650"/>
      <c r="O231" s="650"/>
      <c r="P231" s="650"/>
      <c r="Q231" s="650"/>
      <c r="R231" s="621"/>
      <c r="S231" s="621"/>
      <c r="T231" s="621"/>
      <c r="U231" s="621"/>
      <c r="V231" s="659"/>
      <c r="W231" s="622"/>
      <c r="X231" s="622"/>
      <c r="Y231" s="622"/>
      <c r="Z231" s="622"/>
      <c r="AA231" s="622"/>
      <c r="AB231" s="622"/>
      <c r="AC231" s="622"/>
      <c r="AD231" s="622"/>
      <c r="AE231" s="622"/>
      <c r="AF231" s="622"/>
      <c r="AG231" s="170"/>
    </row>
    <row r="232" spans="2:33" x14ac:dyDescent="0.35">
      <c r="B232" s="698" t="s">
        <v>134</v>
      </c>
      <c r="C232" s="647" t="e">
        <f>SUM(O213:O228)</f>
        <v>#VALUE!</v>
      </c>
      <c r="D232" s="650"/>
      <c r="E232" s="650"/>
      <c r="F232" s="650"/>
      <c r="G232" s="650"/>
      <c r="H232" s="650"/>
      <c r="I232" s="650"/>
      <c r="J232" s="650"/>
      <c r="K232" s="650"/>
      <c r="L232" s="650"/>
      <c r="M232" s="650"/>
      <c r="N232" s="650"/>
      <c r="O232" s="650"/>
      <c r="P232" s="650"/>
      <c r="Q232" s="650"/>
      <c r="R232" s="621"/>
      <c r="S232" s="621"/>
      <c r="T232" s="621"/>
      <c r="U232" s="621"/>
      <c r="V232" s="659"/>
      <c r="W232" s="622"/>
      <c r="X232" s="622"/>
      <c r="Y232" s="622"/>
      <c r="Z232" s="622"/>
      <c r="AA232" s="622"/>
      <c r="AB232" s="622"/>
      <c r="AC232" s="622"/>
      <c r="AD232" s="622"/>
      <c r="AE232" s="622"/>
      <c r="AF232" s="622"/>
      <c r="AG232" s="170"/>
    </row>
    <row r="233" spans="2:33" x14ac:dyDescent="0.35">
      <c r="B233" s="698" t="s">
        <v>135</v>
      </c>
      <c r="C233" s="647" t="e">
        <f>SUM(P213:P228)</f>
        <v>#VALUE!</v>
      </c>
      <c r="D233" s="650"/>
      <c r="E233" s="650"/>
      <c r="F233" s="650"/>
      <c r="G233" s="650"/>
      <c r="H233" s="650"/>
      <c r="I233" s="650"/>
      <c r="J233" s="650"/>
      <c r="K233" s="650"/>
      <c r="L233" s="650"/>
      <c r="M233" s="650"/>
      <c r="N233" s="650"/>
      <c r="O233" s="650"/>
      <c r="P233" s="650"/>
      <c r="Q233" s="650"/>
      <c r="R233" s="621"/>
      <c r="S233" s="621"/>
      <c r="T233" s="621"/>
      <c r="U233" s="621"/>
      <c r="V233" s="659"/>
      <c r="W233" s="622"/>
      <c r="X233" s="622"/>
      <c r="Y233" s="622"/>
      <c r="Z233" s="622"/>
      <c r="AA233" s="622"/>
      <c r="AB233" s="622"/>
      <c r="AC233" s="622"/>
      <c r="AD233" s="622"/>
      <c r="AE233" s="622"/>
      <c r="AF233" s="622"/>
      <c r="AG233" s="170"/>
    </row>
    <row r="234" spans="2:33" x14ac:dyDescent="0.35">
      <c r="B234" s="698" t="s">
        <v>133</v>
      </c>
      <c r="C234" s="647" t="e">
        <f>SUM(Q213:Q228)</f>
        <v>#VALUE!</v>
      </c>
      <c r="D234" s="650"/>
      <c r="E234" s="650"/>
      <c r="F234" s="650"/>
      <c r="G234" s="650"/>
      <c r="H234" s="650"/>
      <c r="I234" s="650"/>
      <c r="J234" s="650"/>
      <c r="K234" s="650"/>
      <c r="L234" s="650"/>
      <c r="M234" s="650"/>
      <c r="N234" s="650"/>
      <c r="O234" s="650"/>
      <c r="P234" s="650"/>
      <c r="Q234" s="650"/>
      <c r="R234" s="621"/>
      <c r="S234" s="621"/>
      <c r="T234" s="621"/>
      <c r="U234" s="621"/>
      <c r="V234" s="659"/>
      <c r="W234" s="622"/>
      <c r="X234" s="622"/>
      <c r="Y234" s="622"/>
      <c r="Z234" s="622"/>
      <c r="AA234" s="622"/>
      <c r="AB234" s="622"/>
      <c r="AC234" s="622"/>
      <c r="AD234" s="622"/>
      <c r="AE234" s="622"/>
      <c r="AF234" s="622"/>
      <c r="AG234" s="170"/>
    </row>
    <row r="235" spans="2:33" ht="33" customHeight="1" thickBot="1" x14ac:dyDescent="0.4">
      <c r="B235" s="643"/>
      <c r="C235" s="741" t="s">
        <v>625</v>
      </c>
      <c r="D235" s="918" t="s">
        <v>626</v>
      </c>
      <c r="E235" s="918"/>
      <c r="F235" s="650"/>
      <c r="G235" s="650"/>
      <c r="H235" s="650"/>
      <c r="I235" s="650"/>
      <c r="J235" s="650"/>
      <c r="K235" s="650"/>
      <c r="L235" s="650"/>
      <c r="M235" s="650"/>
      <c r="N235" s="650"/>
      <c r="O235" s="650"/>
      <c r="P235" s="650"/>
      <c r="Q235" s="650"/>
      <c r="R235" s="621"/>
      <c r="S235" s="621"/>
      <c r="T235" s="621"/>
      <c r="U235" s="621"/>
      <c r="V235" s="659"/>
      <c r="W235" s="622"/>
      <c r="X235" s="622"/>
      <c r="Y235" s="622"/>
      <c r="Z235" s="622"/>
      <c r="AA235" s="622"/>
      <c r="AB235" s="622"/>
      <c r="AC235" s="622"/>
      <c r="AD235" s="622"/>
      <c r="AE235" s="622"/>
      <c r="AF235" s="622"/>
      <c r="AG235" s="170"/>
    </row>
    <row r="236" spans="2:33" ht="18.75" thickBot="1" x14ac:dyDescent="0.4">
      <c r="B236" s="665" t="s">
        <v>121</v>
      </c>
      <c r="C236" s="666" t="e">
        <f>C234/(C232+C233)*R213</f>
        <v>#VALUE!</v>
      </c>
      <c r="D236" s="1040"/>
      <c r="E236" s="1040"/>
      <c r="F236" s="650"/>
      <c r="G236" s="650"/>
      <c r="H236" s="650"/>
      <c r="I236" s="650"/>
      <c r="J236" s="650"/>
      <c r="K236" s="650"/>
      <c r="L236" s="650"/>
      <c r="M236" s="650"/>
      <c r="N236" s="650"/>
      <c r="O236" s="650"/>
      <c r="P236" s="650"/>
      <c r="Q236" s="650"/>
      <c r="R236" s="621"/>
      <c r="S236" s="621"/>
      <c r="T236" s="621"/>
      <c r="U236" s="621"/>
      <c r="V236" s="659"/>
      <c r="W236" s="622"/>
      <c r="X236" s="622"/>
      <c r="Y236" s="622"/>
      <c r="Z236" s="622"/>
      <c r="AA236" s="622"/>
      <c r="AB236" s="622"/>
      <c r="AC236" s="622"/>
      <c r="AD236" s="622"/>
      <c r="AE236" s="622"/>
      <c r="AF236" s="622"/>
      <c r="AG236" s="170"/>
    </row>
    <row r="237" spans="2:33" x14ac:dyDescent="0.35">
      <c r="B237" s="658"/>
      <c r="C237" s="650"/>
      <c r="D237" s="650"/>
      <c r="E237" s="650"/>
      <c r="F237" s="650"/>
      <c r="G237" s="650"/>
      <c r="H237" s="650"/>
      <c r="I237" s="650"/>
      <c r="J237" s="650"/>
      <c r="K237" s="650"/>
      <c r="L237" s="650"/>
      <c r="M237" s="650"/>
      <c r="N237" s="650"/>
      <c r="O237" s="650"/>
      <c r="P237" s="650"/>
      <c r="Q237" s="650"/>
      <c r="R237" s="621"/>
      <c r="S237" s="621"/>
      <c r="T237" s="621"/>
      <c r="U237" s="621"/>
      <c r="V237" s="659"/>
      <c r="W237" s="622"/>
      <c r="X237" s="622"/>
      <c r="Y237" s="622"/>
      <c r="Z237" s="622"/>
      <c r="AA237" s="622"/>
      <c r="AB237" s="622"/>
      <c r="AC237" s="622"/>
      <c r="AD237" s="622"/>
      <c r="AE237" s="622"/>
      <c r="AF237" s="622"/>
      <c r="AG237" s="170"/>
    </row>
    <row r="238" spans="2:33" x14ac:dyDescent="0.35">
      <c r="B238" s="658"/>
      <c r="C238" s="650"/>
      <c r="D238" s="650"/>
      <c r="E238" s="650"/>
      <c r="F238" s="650"/>
      <c r="G238" s="650"/>
      <c r="H238" s="650"/>
      <c r="I238" s="650"/>
      <c r="J238" s="650"/>
      <c r="K238" s="650"/>
      <c r="L238" s="650"/>
      <c r="M238" s="650"/>
      <c r="N238" s="650"/>
      <c r="O238" s="650"/>
      <c r="P238" s="650"/>
      <c r="Q238" s="650"/>
      <c r="R238" s="621"/>
      <c r="S238" s="621"/>
      <c r="T238" s="621"/>
      <c r="U238" s="621"/>
      <c r="V238" s="659"/>
      <c r="W238" s="622"/>
      <c r="X238" s="622"/>
      <c r="Y238" s="622"/>
      <c r="Z238" s="622"/>
      <c r="AA238" s="622"/>
      <c r="AB238" s="622"/>
      <c r="AC238" s="622"/>
      <c r="AD238" s="622"/>
      <c r="AE238" s="622"/>
      <c r="AF238" s="622"/>
      <c r="AG238" s="170"/>
    </row>
    <row r="239" spans="2:33" x14ac:dyDescent="0.35">
      <c r="B239" s="660" t="s">
        <v>235</v>
      </c>
      <c r="C239" s="661"/>
      <c r="D239" s="661"/>
      <c r="E239" s="661"/>
      <c r="F239" s="661"/>
      <c r="G239" s="661"/>
      <c r="H239" s="661"/>
      <c r="I239" s="661"/>
      <c r="J239" s="661"/>
      <c r="K239" s="661"/>
      <c r="L239" s="661"/>
      <c r="M239" s="661"/>
      <c r="N239" s="661"/>
      <c r="O239" s="661"/>
      <c r="P239" s="661"/>
      <c r="Q239" s="661"/>
      <c r="R239" s="662"/>
      <c r="S239" s="621"/>
      <c r="T239" s="621"/>
      <c r="U239" s="621"/>
      <c r="V239" s="659"/>
      <c r="W239" s="622"/>
      <c r="X239" s="622"/>
      <c r="Y239" s="622"/>
      <c r="Z239" s="622"/>
      <c r="AA239" s="622"/>
      <c r="AB239" s="622"/>
      <c r="AC239" s="622"/>
      <c r="AD239" s="622"/>
      <c r="AE239" s="622"/>
      <c r="AF239" s="622"/>
      <c r="AG239" s="170"/>
    </row>
    <row r="240" spans="2:33" x14ac:dyDescent="0.35">
      <c r="B240" s="658"/>
      <c r="C240" s="650"/>
      <c r="D240" s="650"/>
      <c r="E240" s="650"/>
      <c r="F240" s="650"/>
      <c r="G240" s="650"/>
      <c r="H240" s="650"/>
      <c r="I240" s="650"/>
      <c r="J240" s="650"/>
      <c r="K240" s="650"/>
      <c r="L240" s="650"/>
      <c r="M240" s="650"/>
      <c r="N240" s="650"/>
      <c r="O240" s="650"/>
      <c r="P240" s="650"/>
      <c r="Q240" s="650"/>
      <c r="R240" s="621"/>
      <c r="S240" s="621"/>
      <c r="T240" s="621"/>
      <c r="U240" s="621"/>
      <c r="V240" s="659"/>
      <c r="W240" s="622"/>
      <c r="X240" s="622"/>
      <c r="Y240" s="622"/>
      <c r="Z240" s="622"/>
      <c r="AA240" s="622"/>
      <c r="AB240" s="622"/>
      <c r="AC240" s="622"/>
      <c r="AD240" s="622"/>
      <c r="AE240" s="622"/>
      <c r="AF240" s="622"/>
      <c r="AG240" s="170"/>
    </row>
    <row r="241" spans="2:60" x14ac:dyDescent="0.35">
      <c r="B241" s="658"/>
      <c r="C241" s="650"/>
      <c r="D241" s="650"/>
      <c r="E241" s="650"/>
      <c r="F241" s="650"/>
      <c r="G241" s="650"/>
      <c r="H241" s="650"/>
      <c r="I241" s="650"/>
      <c r="J241" s="650"/>
      <c r="K241" s="650"/>
      <c r="L241" s="650"/>
      <c r="M241" s="650"/>
      <c r="N241" s="650"/>
      <c r="O241" s="650"/>
      <c r="P241" s="650"/>
      <c r="Q241" s="650"/>
      <c r="R241" s="621"/>
      <c r="S241" s="621"/>
      <c r="T241" s="621"/>
      <c r="U241" s="621"/>
      <c r="V241" s="659"/>
      <c r="W241" s="622"/>
      <c r="X241" s="622"/>
      <c r="Y241" s="622"/>
      <c r="Z241" s="622"/>
      <c r="AA241" s="622"/>
      <c r="AB241" s="622"/>
      <c r="AC241" s="622"/>
      <c r="AD241" s="622"/>
      <c r="AE241" s="622"/>
      <c r="AF241" s="622"/>
      <c r="AG241" s="170"/>
    </row>
    <row r="242" spans="2:60" x14ac:dyDescent="0.35">
      <c r="B242" s="651" t="s">
        <v>408</v>
      </c>
      <c r="C242" s="647">
        <f>IF(C55="", 0.25, ROUND(MIN(0.25,((1-((C55/(3.413*I55))/(C56/(3.413*I56))))/(1-C55/(C56*'Optional H0C Test Recorded Data'!D13)))),2))</f>
        <v>0.25</v>
      </c>
      <c r="D242" s="650"/>
      <c r="E242" s="650"/>
      <c r="F242" s="650"/>
      <c r="G242" s="650"/>
      <c r="H242" s="650"/>
      <c r="I242" s="650"/>
      <c r="J242" s="650"/>
      <c r="K242" s="650"/>
      <c r="L242" s="650"/>
      <c r="M242" s="650"/>
      <c r="N242" s="650"/>
      <c r="O242" s="650"/>
      <c r="P242" s="650"/>
      <c r="Q242" s="650"/>
      <c r="R242" s="621"/>
      <c r="S242" s="621"/>
      <c r="T242" s="621"/>
      <c r="U242" s="621"/>
      <c r="V242" s="659"/>
      <c r="W242" s="622"/>
      <c r="X242" s="622"/>
      <c r="Y242" s="622"/>
      <c r="Z242" s="622"/>
      <c r="AA242" s="622"/>
      <c r="AB242" s="622"/>
      <c r="AC242" s="622"/>
      <c r="AD242" s="622"/>
      <c r="AE242" s="622"/>
      <c r="AF242" s="622"/>
      <c r="AG242" s="170"/>
    </row>
    <row r="243" spans="2:60" x14ac:dyDescent="0.35">
      <c r="B243" s="643"/>
      <c r="C243" s="650"/>
      <c r="D243" s="650"/>
      <c r="E243" s="650"/>
      <c r="F243" s="650"/>
      <c r="G243" s="650"/>
      <c r="H243" s="650"/>
      <c r="I243" s="650"/>
      <c r="J243" s="650"/>
      <c r="K243" s="650"/>
      <c r="L243" s="650"/>
      <c r="M243" s="650"/>
      <c r="N243" s="650"/>
      <c r="O243" s="650"/>
      <c r="P243" s="650"/>
      <c r="Q243" s="650"/>
      <c r="R243" s="621"/>
      <c r="S243" s="621"/>
      <c r="T243" s="621"/>
      <c r="U243" s="621"/>
      <c r="V243" s="659"/>
      <c r="W243" s="622"/>
      <c r="X243" s="622"/>
      <c r="Y243" s="622"/>
      <c r="Z243" s="622"/>
      <c r="AA243" s="622"/>
      <c r="AB243" s="622"/>
      <c r="AC243" s="622"/>
      <c r="AD243" s="622"/>
      <c r="AE243" s="622"/>
      <c r="AF243" s="622"/>
      <c r="AG243" s="170"/>
    </row>
    <row r="244" spans="2:60" x14ac:dyDescent="0.35">
      <c r="B244" s="658"/>
      <c r="C244" s="650"/>
      <c r="D244" s="650"/>
      <c r="E244" s="650"/>
      <c r="F244" s="650"/>
      <c r="G244" s="650"/>
      <c r="H244" s="650"/>
      <c r="I244" s="650"/>
      <c r="J244" s="650"/>
      <c r="K244" s="650"/>
      <c r="L244" s="650"/>
      <c r="M244" s="650"/>
      <c r="N244" s="650"/>
      <c r="O244" s="650"/>
      <c r="P244" s="650"/>
      <c r="Q244" s="650"/>
      <c r="R244" s="621"/>
      <c r="S244" s="621"/>
      <c r="T244" s="621"/>
      <c r="U244" s="621"/>
      <c r="V244" s="659"/>
      <c r="W244" s="622"/>
      <c r="X244" s="622"/>
      <c r="Y244" s="622"/>
      <c r="Z244" s="622"/>
      <c r="AA244" s="622"/>
      <c r="AB244" s="622"/>
      <c r="AC244" s="622"/>
      <c r="AD244" s="622"/>
      <c r="AE244" s="622"/>
      <c r="AF244" s="622"/>
      <c r="AG244" s="170"/>
    </row>
    <row r="245" spans="2:60" x14ac:dyDescent="0.35">
      <c r="B245" s="658"/>
      <c r="C245" s="650"/>
      <c r="D245" s="650"/>
      <c r="E245" s="650"/>
      <c r="F245" s="650"/>
      <c r="G245" s="650"/>
      <c r="H245" s="650"/>
      <c r="I245" s="650"/>
      <c r="J245" s="650"/>
      <c r="K245" s="650"/>
      <c r="L245" s="650"/>
      <c r="M245" s="650"/>
      <c r="N245" s="650"/>
      <c r="O245" s="650"/>
      <c r="P245" s="650"/>
      <c r="Q245" s="650"/>
      <c r="R245" s="621"/>
      <c r="S245" s="621"/>
      <c r="T245" s="621"/>
      <c r="U245" s="621"/>
      <c r="V245" s="659"/>
      <c r="W245" s="622"/>
      <c r="X245" s="622"/>
      <c r="Y245" s="622"/>
      <c r="Z245" s="622"/>
      <c r="AA245" s="622"/>
      <c r="AB245" s="622"/>
      <c r="AC245" s="622"/>
      <c r="AD245" s="622"/>
      <c r="AE245" s="622"/>
      <c r="AF245" s="622"/>
      <c r="AG245" s="170"/>
    </row>
    <row r="246" spans="2:60" x14ac:dyDescent="0.35">
      <c r="B246" s="667" t="s">
        <v>132</v>
      </c>
      <c r="C246" s="668" t="s">
        <v>399</v>
      </c>
      <c r="D246" s="668" t="s">
        <v>113</v>
      </c>
      <c r="E246" s="668" t="s">
        <v>401</v>
      </c>
      <c r="F246" s="739" t="s">
        <v>266</v>
      </c>
      <c r="G246" s="739" t="s">
        <v>277</v>
      </c>
      <c r="H246" s="739" t="s">
        <v>267</v>
      </c>
      <c r="I246" s="739" t="s">
        <v>273</v>
      </c>
      <c r="J246" s="739" t="s">
        <v>274</v>
      </c>
      <c r="K246" s="739" t="s">
        <v>271</v>
      </c>
      <c r="L246" s="739" t="s">
        <v>495</v>
      </c>
      <c r="M246" s="739" t="s">
        <v>272</v>
      </c>
      <c r="N246" s="739" t="s">
        <v>297</v>
      </c>
      <c r="O246" s="739" t="s">
        <v>283</v>
      </c>
      <c r="P246" s="739" t="s">
        <v>115</v>
      </c>
      <c r="Q246" s="739" t="s">
        <v>557</v>
      </c>
      <c r="R246" s="739" t="s">
        <v>116</v>
      </c>
      <c r="S246" s="739" t="s">
        <v>117</v>
      </c>
      <c r="T246" s="668" t="s">
        <v>118</v>
      </c>
      <c r="U246" s="668" t="s">
        <v>119</v>
      </c>
      <c r="V246" s="668" t="s">
        <v>120</v>
      </c>
      <c r="W246" s="621"/>
      <c r="X246" s="621"/>
      <c r="Y246" s="622"/>
      <c r="Z246" s="622"/>
      <c r="AA246" s="622"/>
      <c r="AB246" s="622"/>
      <c r="AC246" s="622"/>
      <c r="AD246" s="622"/>
      <c r="AE246" s="622"/>
      <c r="AF246" s="622"/>
      <c r="AG246" s="170"/>
      <c r="BH246" s="167"/>
    </row>
    <row r="247" spans="2:60" x14ac:dyDescent="0.35">
      <c r="B247" s="669">
        <f>IF(C247="","",Tables!A6)</f>
        <v>1</v>
      </c>
      <c r="C247" s="647">
        <f>IF(D247="","",Tables!B6)</f>
        <v>62</v>
      </c>
      <c r="D247" s="647">
        <f>IF(HLOOKUP($C$135,Tables!$A$1:$H$23,ROW()-240)=0,"",HLOOKUP($C$135,Tables!$A$1:$H$23,ROW()-240))</f>
        <v>0.111</v>
      </c>
      <c r="E247" s="647" t="e">
        <f>IF(D247="","",((65-C247)/(65-$G$139))*$G$140*$G$137)</f>
        <v>#VALUE!</v>
      </c>
      <c r="F247" s="647" t="e">
        <f>IF(D247="","",$C$44+(($C$56-$C$44)/(62-47))*(C247-47))</f>
        <v>#VALUE!</v>
      </c>
      <c r="G247" s="647" t="e">
        <f>IF(E247="","",$C$57+($AC$192*(C247-35)))</f>
        <v>#VALUE!</v>
      </c>
      <c r="H247" s="647" t="e">
        <f>IF(D247="","",IF(OR(C247&gt;=45,C247&lt;=17),$C$51+((($C$45-$C$51)*(C247-17))/(47-17)),$C$51+((($C$48-$C$51)*(C247-17))/(35-17))))</f>
        <v>#VALUE!</v>
      </c>
      <c r="I247" s="647" t="e">
        <f>IF(D247="","",IF(F247&gt;=E247,E247/F247,""))</f>
        <v>#VALUE!</v>
      </c>
      <c r="J247" s="647" t="e">
        <f t="shared" ref="J247:J264" si="71">IF(D247="","",IF(H247&gt;E247,E247/H247,IF(AND(F247&lt;E247,H247&gt;E247),1-I247," ")))</f>
        <v>#VALUE!</v>
      </c>
      <c r="K247" s="647">
        <f>IF(D247="","",$I$44+(($I$56-$I$44)/(62-47))*(C247-47))</f>
        <v>0</v>
      </c>
      <c r="L247" s="647" t="e">
        <f>IF(E247="","",$I$57+($AC$193*(C247-35)))</f>
        <v>#VALUE!</v>
      </c>
      <c r="M247" s="647">
        <f>IF(D247="","",IF(OR(C247&gt;=45,C247&lt;=17),$I$51+((($I$45-$I$51)*(C247-17))/(47-17)),$I$51+((($I$48-$I$51)*(C247-17))/(35-17))))</f>
        <v>0</v>
      </c>
      <c r="N247" s="730" t="e">
        <f>IF(D247="","",IF(AND('General Info and Test Results'!$C$34= "Yes", 'General Info and Test Results'!$C$24="Central Heat Pump"), IF(AND($AC$180&gt;C247,C247&gt;$AE$180),$AB$197+(($AB$198-$AB$197)/($AE$180-$AC$180))*(C247-$AC$180),$AB$198+(($AB$199-$AB$198)/($AD$180-$AE$180))*(C247-$AE$180)), $AA$195+$AA$193*C247+$AA$194*C247^2))</f>
        <v>#VALUE!</v>
      </c>
      <c r="O247" s="647" t="e">
        <f>IF(D247="","",E247/(3.413*N247))</f>
        <v>#VALUE!</v>
      </c>
      <c r="P247" s="647" t="e">
        <f>IF(D247="","",H247/(3.413*M247))</f>
        <v>#VALUE!</v>
      </c>
      <c r="Q247" s="647" t="e">
        <f>IF(D247="","",IF(E247&gt;=H247,IF(OR(C247&lt;=$C$140,P247&lt;1),0,IF(AND($C$140&lt;C247,C247&lt;=$C$138,P247&gt;=1),0.5,1)),IF(C247&lt;=$C$140,0,IF(AND($C$140&lt;C247,C247&lt;=$C$138),0.5,1))))</f>
        <v>#VALUE!</v>
      </c>
      <c r="R247" s="647" t="e">
        <f t="shared" ref="R247:R264" si="72">IF(D247="","",1-$C$242*(1-I247))</f>
        <v>#VALUE!</v>
      </c>
      <c r="S247" s="647" t="e">
        <f>IF(D247="","",IF(F247&gt;=E247,((I247*K247*Q247*D247)/R247),IF(AND(F247&lt;E247,E247&lt;H247),O247*Q247*D247,IF(E247&gt;=H247,M247*Q247*D247,"ERROR"))))</f>
        <v>#VALUE!</v>
      </c>
      <c r="T247" s="647" t="e">
        <f>IF(D247="","",IF(E247&gt;=H247,((E247-(H247*Q247))/3.413)*D247,((E247*(1-Q247))/3.413)*D247))</f>
        <v>#VALUE!</v>
      </c>
      <c r="U247" s="647" t="e">
        <f t="shared" ref="U247:U264" si="73">IF(D247="","",E247*D247)</f>
        <v>#VALUE!</v>
      </c>
      <c r="V247" s="647">
        <f>IF(D247="","",IF('General Info and Test Results'!$C$32="Yes",1+(0.03*(1-((MAX('H2 Test Recorded Data'!$D$11,1.5)-1.5)/(MIN('H2 Test Recorded Data'!$D$12,12)-1.5)))),1))</f>
        <v>1</v>
      </c>
      <c r="W247" s="621"/>
      <c r="X247" s="621"/>
      <c r="Y247" s="622"/>
      <c r="Z247" s="622"/>
      <c r="AA247" s="622"/>
      <c r="AB247" s="622"/>
      <c r="AC247" s="622"/>
      <c r="AD247" s="622"/>
      <c r="AE247" s="622"/>
      <c r="AF247" s="622"/>
      <c r="AG247" s="170"/>
      <c r="BH247" s="167"/>
    </row>
    <row r="248" spans="2:60" x14ac:dyDescent="0.35">
      <c r="B248" s="669">
        <f>IF(C248="","",Tables!A7)</f>
        <v>2</v>
      </c>
      <c r="C248" s="647">
        <f>IF(D248="","",Tables!B7)</f>
        <v>57</v>
      </c>
      <c r="D248" s="647">
        <f>IF(HLOOKUP($C$135,Tables!$A$1:$H$23,ROW()-240)=0,"",HLOOKUP($C$135,Tables!$A$1:$H$23,ROW()-240))</f>
        <v>0.10299999999999999</v>
      </c>
      <c r="E248" s="647" t="e">
        <f t="shared" ref="E248:E264" si="74">IF(D248="","",((65-C248)/(65-$G$139))*$G$140*$G$137)</f>
        <v>#VALUE!</v>
      </c>
      <c r="F248" s="647" t="e">
        <f t="shared" ref="F248:F264" si="75">IF(D248="","",$C$44+(($C$56-$C$44)/(62-47))*(C248-47))</f>
        <v>#VALUE!</v>
      </c>
      <c r="G248" s="647" t="e">
        <f t="shared" ref="G248:G264" si="76">IF(E248="","",$C$57+($AC$192*(C248-35)))</f>
        <v>#VALUE!</v>
      </c>
      <c r="H248" s="647" t="e">
        <f t="shared" ref="H248:H264" si="77">IF(D248="","",IF(OR(C248&gt;=45,C248&lt;=17),$C$51+((($C$45-$C$51)*(C248-17))/(47-17)),$C$51+((($C$48-$C$51)*(C248-17))/(35-17))))</f>
        <v>#VALUE!</v>
      </c>
      <c r="I248" s="647" t="e">
        <f t="shared" ref="I248:I264" si="78">IF(D248="","",IF(F248&gt;=E248,E248/F248,""))</f>
        <v>#VALUE!</v>
      </c>
      <c r="J248" s="647" t="e">
        <f t="shared" si="71"/>
        <v>#VALUE!</v>
      </c>
      <c r="K248" s="647">
        <f t="shared" ref="K248:K264" si="79">IF(D248="","",$I$44+(($I$56-$I$44)/(62-47))*(C248-47))</f>
        <v>0</v>
      </c>
      <c r="L248" s="647" t="e">
        <f t="shared" ref="L248:L264" si="80">IF(E248="","",$I$57+($AC$193*(C248-35)))</f>
        <v>#VALUE!</v>
      </c>
      <c r="M248" s="647">
        <f t="shared" ref="M248:M264" si="81">IF(D248="","",IF(OR(C248&gt;=45,C248&lt;=17),$I$51+((($I$45-$I$51)*(C248-17))/(47-17)),$I$51+((($I$48-$I$51)*(C248-17))/(35-17))))</f>
        <v>0</v>
      </c>
      <c r="N248" s="730" t="e">
        <f>IF(D248="","",IF(AND('General Info and Test Results'!$C$34= "Yes", 'General Info and Test Results'!$C$24="Central Heat Pump"), IF(AND($AC$180&gt;C248,C248&gt;$AE$180),$AB$197+(($AB$198-$AB$197)/($AE$180-$AC$180))*(C248-$AC$180),$AB$198+(($AB$199-$AB$198)/($AD$180-$AE$180))*(C248-$AE$180)), $AA$195+$AA$193*C248+$AA$194*C248^2))</f>
        <v>#VALUE!</v>
      </c>
      <c r="O248" s="647" t="e">
        <f t="shared" ref="O248:O264" si="82">IF(D248="","",E248/(3.413*N248))</f>
        <v>#VALUE!</v>
      </c>
      <c r="P248" s="647" t="e">
        <f t="shared" ref="P248:P264" si="83">IF(D248="","",H248/(3.413*M248))</f>
        <v>#VALUE!</v>
      </c>
      <c r="Q248" s="647" t="e">
        <f t="shared" ref="Q248:Q264" si="84">IF(D248="","",IF(E248&gt;=H248,IF(OR(C248&lt;=$C$140,P248&lt;1),0,IF(AND($C$140&lt;C248,C248&lt;=$C$138,P248&gt;=1),0.5,1)),IF(C248&lt;=$C$140,0,IF(AND($C$140&lt;C248,C248&lt;=$C$138),0.5,1))))</f>
        <v>#VALUE!</v>
      </c>
      <c r="R248" s="647" t="e">
        <f t="shared" si="72"/>
        <v>#VALUE!</v>
      </c>
      <c r="S248" s="647" t="e">
        <f t="shared" ref="S248:S264" si="85">IF(D248="","",IF(F248&gt;=E248,((I248*K248*Q248*D248)/R248),IF(AND(F248&lt;E248,E248&lt;H248),O248*Q248*D248,IF(E248&gt;=H248,M248*Q248*D248,"ERROR"))))</f>
        <v>#VALUE!</v>
      </c>
      <c r="T248" s="647" t="e">
        <f t="shared" ref="T248:T264" si="86">IF(D248="","",IF(E248&gt;=H248,((E248-(H248*Q248))/3.413)*D248,((E248*(1-Q248))/3.413)*D248))</f>
        <v>#VALUE!</v>
      </c>
      <c r="U248" s="647" t="e">
        <f t="shared" si="73"/>
        <v>#VALUE!</v>
      </c>
      <c r="V248" s="647">
        <f>IF(D248="","",IF('General Info and Test Results'!$C$32="Yes",1+(0.03*(1-((MAX('H2 Test Recorded Data'!$D$11,1.5)-1.5)/(MIN('H2 Test Recorded Data'!$D$12,12)-1.5)))),1))</f>
        <v>1</v>
      </c>
      <c r="W248" s="621"/>
      <c r="X248" s="621"/>
      <c r="Y248" s="622"/>
      <c r="Z248" s="622"/>
      <c r="AA248" s="622"/>
      <c r="AB248" s="622"/>
      <c r="AC248" s="622"/>
      <c r="AD248" s="622"/>
      <c r="AE248" s="622"/>
      <c r="AF248" s="622"/>
      <c r="AG248" s="170"/>
      <c r="BH248" s="167"/>
    </row>
    <row r="249" spans="2:60" x14ac:dyDescent="0.35">
      <c r="B249" s="669">
        <f>IF(C249="","",Tables!A8)</f>
        <v>3</v>
      </c>
      <c r="C249" s="647">
        <f>IF(D249="","",Tables!B8)</f>
        <v>52</v>
      </c>
      <c r="D249" s="647">
        <f>IF(HLOOKUP($C$135,Tables!$A$1:$H$23,ROW()-240)=0,"",HLOOKUP($C$135,Tables!$A$1:$H$23,ROW()-240))</f>
        <v>9.2999999999999999E-2</v>
      </c>
      <c r="E249" s="647" t="e">
        <f t="shared" si="74"/>
        <v>#VALUE!</v>
      </c>
      <c r="F249" s="647" t="e">
        <f t="shared" si="75"/>
        <v>#VALUE!</v>
      </c>
      <c r="G249" s="647" t="e">
        <f t="shared" si="76"/>
        <v>#VALUE!</v>
      </c>
      <c r="H249" s="647" t="e">
        <f t="shared" si="77"/>
        <v>#VALUE!</v>
      </c>
      <c r="I249" s="647" t="e">
        <f t="shared" si="78"/>
        <v>#VALUE!</v>
      </c>
      <c r="J249" s="647" t="e">
        <f t="shared" si="71"/>
        <v>#VALUE!</v>
      </c>
      <c r="K249" s="647">
        <f t="shared" si="79"/>
        <v>0</v>
      </c>
      <c r="L249" s="647" t="e">
        <f t="shared" si="80"/>
        <v>#VALUE!</v>
      </c>
      <c r="M249" s="647">
        <f t="shared" si="81"/>
        <v>0</v>
      </c>
      <c r="N249" s="730" t="e">
        <f>IF(D249="","",IF(AND('General Info and Test Results'!$C$34= "Yes", 'General Info and Test Results'!$C$24="Central Heat Pump"), IF(AND($AC$180&gt;C249,C249&gt;$AE$180),$AB$197+(($AB$198-$AB$197)/($AE$180-$AC$180))*(C249-$AC$180),$AB$198+(($AB$199-$AB$198)/($AD$180-$AE$180))*(C249-$AE$180)), $AA$195+$AA$193*C249+$AA$194*C249^2))</f>
        <v>#VALUE!</v>
      </c>
      <c r="O249" s="647" t="e">
        <f t="shared" si="82"/>
        <v>#VALUE!</v>
      </c>
      <c r="P249" s="647" t="e">
        <f t="shared" si="83"/>
        <v>#VALUE!</v>
      </c>
      <c r="Q249" s="647" t="e">
        <f t="shared" si="84"/>
        <v>#VALUE!</v>
      </c>
      <c r="R249" s="647" t="e">
        <f t="shared" si="72"/>
        <v>#VALUE!</v>
      </c>
      <c r="S249" s="647" t="e">
        <f t="shared" si="85"/>
        <v>#VALUE!</v>
      </c>
      <c r="T249" s="647" t="e">
        <f t="shared" si="86"/>
        <v>#VALUE!</v>
      </c>
      <c r="U249" s="647" t="e">
        <f t="shared" si="73"/>
        <v>#VALUE!</v>
      </c>
      <c r="V249" s="647">
        <f>IF(D249="","",IF('General Info and Test Results'!$C$32="Yes",1+(0.03*(1-((MAX('H2 Test Recorded Data'!$D$11,1.5)-1.5)/(MIN('H2 Test Recorded Data'!$D$12,12)-1.5)))),1))</f>
        <v>1</v>
      </c>
      <c r="W249" s="621"/>
      <c r="X249" s="621"/>
      <c r="Y249" s="622"/>
      <c r="Z249" s="622"/>
      <c r="AA249" s="622"/>
      <c r="AB249" s="622"/>
      <c r="AC249" s="622"/>
      <c r="AD249" s="622"/>
      <c r="AE249" s="622"/>
      <c r="AF249" s="622"/>
      <c r="AG249" s="170"/>
      <c r="BH249" s="167"/>
    </row>
    <row r="250" spans="2:60" x14ac:dyDescent="0.35">
      <c r="B250" s="669">
        <f>IF(C250="","",Tables!A9)</f>
        <v>4</v>
      </c>
      <c r="C250" s="647">
        <f>IF(D250="","",Tables!B9)</f>
        <v>47</v>
      </c>
      <c r="D250" s="647">
        <f>IF(HLOOKUP($C$135,Tables!$A$1:$H$23,ROW()-240)=0,"",HLOOKUP($C$135,Tables!$A$1:$H$23,ROW()-240))</f>
        <v>0.1</v>
      </c>
      <c r="E250" s="647" t="e">
        <f t="shared" si="74"/>
        <v>#VALUE!</v>
      </c>
      <c r="F250" s="647" t="e">
        <f t="shared" si="75"/>
        <v>#VALUE!</v>
      </c>
      <c r="G250" s="647" t="e">
        <f t="shared" si="76"/>
        <v>#VALUE!</v>
      </c>
      <c r="H250" s="647" t="e">
        <f t="shared" si="77"/>
        <v>#VALUE!</v>
      </c>
      <c r="I250" s="647" t="e">
        <f t="shared" si="78"/>
        <v>#VALUE!</v>
      </c>
      <c r="J250" s="647" t="e">
        <f t="shared" si="71"/>
        <v>#VALUE!</v>
      </c>
      <c r="K250" s="647">
        <f t="shared" si="79"/>
        <v>0</v>
      </c>
      <c r="L250" s="647" t="e">
        <f t="shared" si="80"/>
        <v>#VALUE!</v>
      </c>
      <c r="M250" s="647">
        <f t="shared" si="81"/>
        <v>0</v>
      </c>
      <c r="N250" s="730" t="e">
        <f>IF(D250="","",IF(AND('General Info and Test Results'!$C$34= "Yes", 'General Info and Test Results'!$C$24="Central Heat Pump"), IF(AND($AC$180&gt;C250,C250&gt;$AE$180),$AB$197+(($AB$198-$AB$197)/($AE$180-$AC$180))*(C250-$AC$180),$AB$198+(($AB$199-$AB$198)/($AD$180-$AE$180))*(C250-$AE$180)), $AA$195+$AA$193*C250+$AA$194*C250^2))</f>
        <v>#VALUE!</v>
      </c>
      <c r="O250" s="647" t="e">
        <f t="shared" si="82"/>
        <v>#VALUE!</v>
      </c>
      <c r="P250" s="647" t="e">
        <f t="shared" si="83"/>
        <v>#VALUE!</v>
      </c>
      <c r="Q250" s="647" t="e">
        <f t="shared" si="84"/>
        <v>#VALUE!</v>
      </c>
      <c r="R250" s="647" t="e">
        <f t="shared" si="72"/>
        <v>#VALUE!</v>
      </c>
      <c r="S250" s="647" t="e">
        <f t="shared" si="85"/>
        <v>#VALUE!</v>
      </c>
      <c r="T250" s="647" t="e">
        <f t="shared" si="86"/>
        <v>#VALUE!</v>
      </c>
      <c r="U250" s="647" t="e">
        <f t="shared" si="73"/>
        <v>#VALUE!</v>
      </c>
      <c r="V250" s="647">
        <f>IF(D250="","",IF('General Info and Test Results'!$C$32="Yes",1+(0.03*(1-((MAX('H2 Test Recorded Data'!$D$11,1.5)-1.5)/(MIN('H2 Test Recorded Data'!$D$12,12)-1.5)))),1))</f>
        <v>1</v>
      </c>
      <c r="W250" s="621"/>
      <c r="X250" s="621"/>
      <c r="Y250" s="622"/>
      <c r="Z250" s="622"/>
      <c r="AA250" s="622"/>
      <c r="AB250" s="622"/>
      <c r="AC250" s="622"/>
      <c r="AD250" s="622"/>
      <c r="AE250" s="622"/>
      <c r="AF250" s="622"/>
      <c r="AG250" s="170"/>
      <c r="BH250" s="167"/>
    </row>
    <row r="251" spans="2:60" x14ac:dyDescent="0.35">
      <c r="B251" s="669">
        <f>IF(C251="","",Tables!A10)</f>
        <v>5</v>
      </c>
      <c r="C251" s="647">
        <f>IF(D251="","",Tables!B10)</f>
        <v>42</v>
      </c>
      <c r="D251" s="647">
        <f>IF(HLOOKUP($C$135,Tables!$A$1:$H$23,ROW()-240)=0,"",HLOOKUP($C$135,Tables!$A$1:$H$23,ROW()-240))</f>
        <v>0.109</v>
      </c>
      <c r="E251" s="647" t="e">
        <f t="shared" si="74"/>
        <v>#VALUE!</v>
      </c>
      <c r="F251" s="647" t="e">
        <f t="shared" si="75"/>
        <v>#VALUE!</v>
      </c>
      <c r="G251" s="647" t="e">
        <f t="shared" si="76"/>
        <v>#VALUE!</v>
      </c>
      <c r="H251" s="647" t="e">
        <f t="shared" si="77"/>
        <v>#VALUE!</v>
      </c>
      <c r="I251" s="647" t="e">
        <f t="shared" si="78"/>
        <v>#VALUE!</v>
      </c>
      <c r="J251" s="647" t="e">
        <f t="shared" si="71"/>
        <v>#VALUE!</v>
      </c>
      <c r="K251" s="647">
        <f t="shared" si="79"/>
        <v>0</v>
      </c>
      <c r="L251" s="647" t="e">
        <f t="shared" si="80"/>
        <v>#VALUE!</v>
      </c>
      <c r="M251" s="647">
        <f t="shared" si="81"/>
        <v>0</v>
      </c>
      <c r="N251" s="730" t="e">
        <f>IF(D251="","",IF(AND('General Info and Test Results'!$C$34= "Yes", 'General Info and Test Results'!$C$24="Central Heat Pump"), IF(AND($AC$180&gt;C251,C251&gt;$AE$180),$AB$197+(($AB$198-$AB$197)/($AE$180-$AC$180))*(C251-$AC$180),$AB$198+(($AB$199-$AB$198)/($AD$180-$AE$180))*(C251-$AE$180)), $AA$195+$AA$193*C251+$AA$194*C251^2))</f>
        <v>#VALUE!</v>
      </c>
      <c r="O251" s="647" t="e">
        <f t="shared" si="82"/>
        <v>#VALUE!</v>
      </c>
      <c r="P251" s="647" t="e">
        <f t="shared" si="83"/>
        <v>#VALUE!</v>
      </c>
      <c r="Q251" s="647" t="e">
        <f t="shared" si="84"/>
        <v>#VALUE!</v>
      </c>
      <c r="R251" s="647" t="e">
        <f t="shared" si="72"/>
        <v>#VALUE!</v>
      </c>
      <c r="S251" s="647" t="e">
        <f t="shared" si="85"/>
        <v>#VALUE!</v>
      </c>
      <c r="T251" s="647" t="e">
        <f t="shared" si="86"/>
        <v>#VALUE!</v>
      </c>
      <c r="U251" s="647" t="e">
        <f t="shared" si="73"/>
        <v>#VALUE!</v>
      </c>
      <c r="V251" s="647">
        <f>IF(D251="","",IF('General Info and Test Results'!$C$32="Yes",1+(0.03*(1-((MAX('H2 Test Recorded Data'!$D$11,1.5)-1.5)/(MIN('H2 Test Recorded Data'!$D$12,12)-1.5)))),1))</f>
        <v>1</v>
      </c>
      <c r="W251" s="621"/>
      <c r="X251" s="621"/>
      <c r="Y251" s="622"/>
      <c r="Z251" s="622"/>
      <c r="AA251" s="622"/>
      <c r="AB251" s="622"/>
      <c r="AC251" s="622"/>
      <c r="AD251" s="622"/>
      <c r="AE251" s="622"/>
      <c r="AF251" s="622"/>
      <c r="AG251" s="170"/>
      <c r="BH251" s="167"/>
    </row>
    <row r="252" spans="2:60" x14ac:dyDescent="0.35">
      <c r="B252" s="669">
        <f>IF(C252="","",Tables!A11)</f>
        <v>6</v>
      </c>
      <c r="C252" s="647">
        <f>IF(D252="","",Tables!B11)</f>
        <v>37</v>
      </c>
      <c r="D252" s="647">
        <f>IF(HLOOKUP($C$135,Tables!$A$1:$H$23,ROW()-240)=0,"",HLOOKUP($C$135,Tables!$A$1:$H$23,ROW()-240))</f>
        <v>0.126</v>
      </c>
      <c r="E252" s="647" t="e">
        <f t="shared" si="74"/>
        <v>#VALUE!</v>
      </c>
      <c r="F252" s="647" t="e">
        <f t="shared" si="75"/>
        <v>#VALUE!</v>
      </c>
      <c r="G252" s="647" t="e">
        <f>IF(E252="","",$C$57+($AC$192*(C252-35)))</f>
        <v>#VALUE!</v>
      </c>
      <c r="H252" s="647" t="e">
        <f t="shared" si="77"/>
        <v>#VALUE!</v>
      </c>
      <c r="I252" s="647" t="e">
        <f t="shared" si="78"/>
        <v>#VALUE!</v>
      </c>
      <c r="J252" s="647" t="e">
        <f t="shared" si="71"/>
        <v>#VALUE!</v>
      </c>
      <c r="K252" s="647">
        <f t="shared" si="79"/>
        <v>0</v>
      </c>
      <c r="L252" s="647" t="e">
        <f t="shared" si="80"/>
        <v>#VALUE!</v>
      </c>
      <c r="M252" s="647">
        <f t="shared" si="81"/>
        <v>0</v>
      </c>
      <c r="N252" s="730" t="e">
        <f>IF(D252="","",IF(AND('General Info and Test Results'!$C$34= "Yes", 'General Info and Test Results'!$C$24="Central Heat Pump"), IF(AND($AC$180&gt;C252,C252&gt;$AE$180),$AB$197+(($AB$198-$AB$197)/($AE$180-$AC$180))*(C252-$AC$180),$AB$198+(($AB$199-$AB$198)/($AD$180-$AE$180))*(C252-$AE$180)), $AA$195+$AA$193*C252+$AA$194*C252^2))</f>
        <v>#VALUE!</v>
      </c>
      <c r="O252" s="647" t="e">
        <f t="shared" si="82"/>
        <v>#VALUE!</v>
      </c>
      <c r="P252" s="647" t="e">
        <f t="shared" si="83"/>
        <v>#VALUE!</v>
      </c>
      <c r="Q252" s="647" t="e">
        <f t="shared" si="84"/>
        <v>#VALUE!</v>
      </c>
      <c r="R252" s="647" t="e">
        <f t="shared" si="72"/>
        <v>#VALUE!</v>
      </c>
      <c r="S252" s="647" t="e">
        <f t="shared" si="85"/>
        <v>#VALUE!</v>
      </c>
      <c r="T252" s="647" t="e">
        <f t="shared" si="86"/>
        <v>#VALUE!</v>
      </c>
      <c r="U252" s="647" t="e">
        <f t="shared" si="73"/>
        <v>#VALUE!</v>
      </c>
      <c r="V252" s="647">
        <f>IF(D252="","",IF('General Info and Test Results'!$C$32="Yes",1+(0.03*(1-((MAX('H2 Test Recorded Data'!$D$11,1.5)-1.5)/(MIN('H2 Test Recorded Data'!$D$12,12)-1.5)))),1))</f>
        <v>1</v>
      </c>
      <c r="W252" s="621"/>
      <c r="X252" s="621"/>
      <c r="Y252" s="622"/>
      <c r="Z252" s="622"/>
      <c r="AA252" s="622"/>
      <c r="AB252" s="622"/>
      <c r="AC252" s="622"/>
      <c r="AD252" s="622"/>
      <c r="AE252" s="622"/>
      <c r="AF252" s="622"/>
      <c r="AG252" s="170"/>
      <c r="BH252" s="167"/>
    </row>
    <row r="253" spans="2:60" x14ac:dyDescent="0.35">
      <c r="B253" s="669">
        <f>IF(C253="","",Tables!A12)</f>
        <v>7</v>
      </c>
      <c r="C253" s="647">
        <f>IF(D253="","",Tables!B12)</f>
        <v>32</v>
      </c>
      <c r="D253" s="647">
        <f>IF(HLOOKUP($C$135,Tables!$A$1:$H$23,ROW()-240)=0,"",HLOOKUP($C$135,Tables!$A$1:$H$23,ROW()-240))</f>
        <v>8.6999999999999994E-2</v>
      </c>
      <c r="E253" s="647" t="e">
        <f t="shared" si="74"/>
        <v>#VALUE!</v>
      </c>
      <c r="F253" s="647" t="e">
        <f t="shared" si="75"/>
        <v>#VALUE!</v>
      </c>
      <c r="G253" s="647" t="e">
        <f t="shared" si="76"/>
        <v>#VALUE!</v>
      </c>
      <c r="H253" s="647" t="e">
        <f t="shared" si="77"/>
        <v>#VALUE!</v>
      </c>
      <c r="I253" s="647" t="e">
        <f t="shared" si="78"/>
        <v>#VALUE!</v>
      </c>
      <c r="J253" s="647" t="e">
        <f t="shared" si="71"/>
        <v>#VALUE!</v>
      </c>
      <c r="K253" s="647">
        <f t="shared" si="79"/>
        <v>0</v>
      </c>
      <c r="L253" s="647" t="e">
        <f t="shared" si="80"/>
        <v>#VALUE!</v>
      </c>
      <c r="M253" s="647">
        <f t="shared" si="81"/>
        <v>0</v>
      </c>
      <c r="N253" s="730" t="e">
        <f>IF(D253="","",IF(AND('General Info and Test Results'!$C$34= "Yes", 'General Info and Test Results'!$C$24="Central Heat Pump"), IF(AND($AC$180&gt;C253,C253&gt;$AE$180),$AB$197+(($AB$198-$AB$197)/($AE$180-$AC$180))*(C253-$AC$180),$AB$198+(($AB$199-$AB$198)/($AD$180-$AE$180))*(C253-$AE$180)), $AA$195+$AA$193*C253+$AA$194*C253^2))</f>
        <v>#VALUE!</v>
      </c>
      <c r="O253" s="647" t="e">
        <f t="shared" si="82"/>
        <v>#VALUE!</v>
      </c>
      <c r="P253" s="647" t="e">
        <f t="shared" si="83"/>
        <v>#VALUE!</v>
      </c>
      <c r="Q253" s="647" t="e">
        <f t="shared" si="84"/>
        <v>#VALUE!</v>
      </c>
      <c r="R253" s="647" t="e">
        <f t="shared" si="72"/>
        <v>#VALUE!</v>
      </c>
      <c r="S253" s="647" t="e">
        <f t="shared" si="85"/>
        <v>#VALUE!</v>
      </c>
      <c r="T253" s="647" t="e">
        <f t="shared" si="86"/>
        <v>#VALUE!</v>
      </c>
      <c r="U253" s="647" t="e">
        <f t="shared" si="73"/>
        <v>#VALUE!</v>
      </c>
      <c r="V253" s="647">
        <f>IF(D253="","",IF('General Info and Test Results'!$C$32="Yes",1+(0.03*(1-((MAX('H2 Test Recorded Data'!$D$11,1.5)-1.5)/(MIN('H2 Test Recorded Data'!$D$12,12)-1.5)))),1))</f>
        <v>1</v>
      </c>
      <c r="W253" s="621"/>
      <c r="X253" s="621"/>
      <c r="Y253" s="622"/>
      <c r="Z253" s="622"/>
      <c r="AA253" s="622"/>
      <c r="AB253" s="622"/>
      <c r="AC253" s="622"/>
      <c r="AD253" s="622"/>
      <c r="AE253" s="622"/>
      <c r="AF253" s="622"/>
      <c r="AG253" s="170"/>
      <c r="BH253" s="167"/>
    </row>
    <row r="254" spans="2:60" x14ac:dyDescent="0.35">
      <c r="B254" s="669">
        <f>IF(C254="","",Tables!A13)</f>
        <v>8</v>
      </c>
      <c r="C254" s="647">
        <f>IF(D254="","",Tables!B13)</f>
        <v>27</v>
      </c>
      <c r="D254" s="647">
        <f>IF(HLOOKUP($C$135,Tables!$A$1:$H$23,ROW()-240)=0,"",HLOOKUP($C$135,Tables!$A$1:$H$23,ROW()-240))</f>
        <v>5.5E-2</v>
      </c>
      <c r="E254" s="647" t="e">
        <f t="shared" si="74"/>
        <v>#VALUE!</v>
      </c>
      <c r="F254" s="647" t="e">
        <f t="shared" si="75"/>
        <v>#VALUE!</v>
      </c>
      <c r="G254" s="647" t="e">
        <f t="shared" si="76"/>
        <v>#VALUE!</v>
      </c>
      <c r="H254" s="647" t="e">
        <f t="shared" si="77"/>
        <v>#VALUE!</v>
      </c>
      <c r="I254" s="647" t="e">
        <f t="shared" si="78"/>
        <v>#VALUE!</v>
      </c>
      <c r="J254" s="647" t="e">
        <f t="shared" si="71"/>
        <v>#VALUE!</v>
      </c>
      <c r="K254" s="647">
        <f t="shared" si="79"/>
        <v>0</v>
      </c>
      <c r="L254" s="647" t="e">
        <f t="shared" si="80"/>
        <v>#VALUE!</v>
      </c>
      <c r="M254" s="647">
        <f t="shared" si="81"/>
        <v>0</v>
      </c>
      <c r="N254" s="730" t="e">
        <f>IF(D254="","",IF(AND('General Info and Test Results'!$C$34= "Yes", 'General Info and Test Results'!$C$24="Central Heat Pump"), IF(AND($AC$180&gt;C254,C254&gt;$AE$180),$AB$197+(($AB$198-$AB$197)/($AE$180-$AC$180))*(C254-$AC$180),$AB$198+(($AB$199-$AB$198)/($AD$180-$AE$180))*(C254-$AE$180)), $AA$195+$AA$193*C254+$AA$194*C254^2))</f>
        <v>#VALUE!</v>
      </c>
      <c r="O254" s="647" t="e">
        <f t="shared" si="82"/>
        <v>#VALUE!</v>
      </c>
      <c r="P254" s="647" t="e">
        <f t="shared" si="83"/>
        <v>#VALUE!</v>
      </c>
      <c r="Q254" s="647" t="e">
        <f t="shared" si="84"/>
        <v>#VALUE!</v>
      </c>
      <c r="R254" s="647" t="e">
        <f t="shared" si="72"/>
        <v>#VALUE!</v>
      </c>
      <c r="S254" s="647" t="e">
        <f t="shared" si="85"/>
        <v>#VALUE!</v>
      </c>
      <c r="T254" s="647" t="e">
        <f t="shared" si="86"/>
        <v>#VALUE!</v>
      </c>
      <c r="U254" s="647" t="e">
        <f t="shared" si="73"/>
        <v>#VALUE!</v>
      </c>
      <c r="V254" s="647">
        <f>IF(D254="","",IF('General Info and Test Results'!$C$32="Yes",1+(0.03*(1-((MAX('H2 Test Recorded Data'!$D$11,1.5)-1.5)/(MIN('H2 Test Recorded Data'!$D$12,12)-1.5)))),1))</f>
        <v>1</v>
      </c>
      <c r="W254" s="621"/>
      <c r="X254" s="621"/>
      <c r="Y254" s="622"/>
      <c r="Z254" s="622"/>
      <c r="AA254" s="622"/>
      <c r="AB254" s="622"/>
      <c r="AC254" s="622"/>
      <c r="AD254" s="622"/>
      <c r="AE254" s="622"/>
      <c r="AF254" s="622"/>
      <c r="AG254" s="170"/>
      <c r="BH254" s="167"/>
    </row>
    <row r="255" spans="2:60" x14ac:dyDescent="0.35">
      <c r="B255" s="669">
        <f>IF(C255="","",Tables!A14)</f>
        <v>9</v>
      </c>
      <c r="C255" s="647">
        <f>IF(D255="","",Tables!B14)</f>
        <v>22</v>
      </c>
      <c r="D255" s="647">
        <f>IF(HLOOKUP($C$135,Tables!$A$1:$H$23,ROW()-240)=0,"",HLOOKUP($C$135,Tables!$A$1:$H$23,ROW()-240))</f>
        <v>3.5999999999999997E-2</v>
      </c>
      <c r="E255" s="647" t="e">
        <f t="shared" si="74"/>
        <v>#VALUE!</v>
      </c>
      <c r="F255" s="647" t="e">
        <f t="shared" si="75"/>
        <v>#VALUE!</v>
      </c>
      <c r="G255" s="647" t="e">
        <f t="shared" si="76"/>
        <v>#VALUE!</v>
      </c>
      <c r="H255" s="647" t="e">
        <f t="shared" si="77"/>
        <v>#VALUE!</v>
      </c>
      <c r="I255" s="647" t="e">
        <f t="shared" si="78"/>
        <v>#VALUE!</v>
      </c>
      <c r="J255" s="647" t="e">
        <f t="shared" si="71"/>
        <v>#VALUE!</v>
      </c>
      <c r="K255" s="647">
        <f t="shared" si="79"/>
        <v>0</v>
      </c>
      <c r="L255" s="647" t="e">
        <f t="shared" si="80"/>
        <v>#VALUE!</v>
      </c>
      <c r="M255" s="647">
        <f t="shared" si="81"/>
        <v>0</v>
      </c>
      <c r="N255" s="730" t="e">
        <f>IF(D255="","",IF(AND('General Info and Test Results'!$C$34= "Yes", 'General Info and Test Results'!$C$24="Central Heat Pump"), IF(AND($AC$180&gt;C255,C255&gt;$AE$180),$AB$197+(($AB$198-$AB$197)/($AE$180-$AC$180))*(C255-$AC$180),$AB$198+(($AB$199-$AB$198)/($AD$180-$AE$180))*(C255-$AE$180)), $AA$195+$AA$193*C255+$AA$194*C255^2))</f>
        <v>#VALUE!</v>
      </c>
      <c r="O255" s="647" t="e">
        <f t="shared" si="82"/>
        <v>#VALUE!</v>
      </c>
      <c r="P255" s="647" t="e">
        <f t="shared" si="83"/>
        <v>#VALUE!</v>
      </c>
      <c r="Q255" s="647" t="e">
        <f t="shared" si="84"/>
        <v>#VALUE!</v>
      </c>
      <c r="R255" s="647" t="e">
        <f t="shared" si="72"/>
        <v>#VALUE!</v>
      </c>
      <c r="S255" s="647" t="e">
        <f t="shared" si="85"/>
        <v>#VALUE!</v>
      </c>
      <c r="T255" s="647" t="e">
        <f t="shared" si="86"/>
        <v>#VALUE!</v>
      </c>
      <c r="U255" s="647" t="e">
        <f t="shared" si="73"/>
        <v>#VALUE!</v>
      </c>
      <c r="V255" s="647">
        <f>IF(D255="","",IF('General Info and Test Results'!$C$32="Yes",1+(0.03*(1-((MAX('H2 Test Recorded Data'!$D$11,1.5)-1.5)/(MIN('H2 Test Recorded Data'!$D$12,12)-1.5)))),1))</f>
        <v>1</v>
      </c>
      <c r="W255" s="621"/>
      <c r="X255" s="621"/>
      <c r="Y255" s="622"/>
      <c r="Z255" s="622"/>
      <c r="AA255" s="622"/>
      <c r="AB255" s="622"/>
      <c r="AC255" s="622"/>
      <c r="AD255" s="622"/>
      <c r="AE255" s="622"/>
      <c r="AF255" s="622"/>
      <c r="AG255" s="170"/>
      <c r="BH255" s="167"/>
    </row>
    <row r="256" spans="2:60" x14ac:dyDescent="0.35">
      <c r="B256" s="669">
        <f>IF(C256="","",Tables!A15)</f>
        <v>10</v>
      </c>
      <c r="C256" s="647">
        <f>IF(D256="","",Tables!B15)</f>
        <v>17</v>
      </c>
      <c r="D256" s="647">
        <f>IF(HLOOKUP($C$135,Tables!$A$1:$H$23,ROW()-240)=0,"",HLOOKUP($C$135,Tables!$A$1:$H$23,ROW()-240))</f>
        <v>2.5999999999999999E-2</v>
      </c>
      <c r="E256" s="647" t="e">
        <f t="shared" si="74"/>
        <v>#VALUE!</v>
      </c>
      <c r="F256" s="647" t="e">
        <f t="shared" si="75"/>
        <v>#VALUE!</v>
      </c>
      <c r="G256" s="647" t="e">
        <f t="shared" si="76"/>
        <v>#VALUE!</v>
      </c>
      <c r="H256" s="647" t="e">
        <f t="shared" si="77"/>
        <v>#VALUE!</v>
      </c>
      <c r="I256" s="647" t="e">
        <f t="shared" si="78"/>
        <v>#VALUE!</v>
      </c>
      <c r="J256" s="647" t="e">
        <f t="shared" si="71"/>
        <v>#VALUE!</v>
      </c>
      <c r="K256" s="647">
        <f t="shared" si="79"/>
        <v>0</v>
      </c>
      <c r="L256" s="647" t="e">
        <f t="shared" si="80"/>
        <v>#VALUE!</v>
      </c>
      <c r="M256" s="647">
        <f t="shared" si="81"/>
        <v>0</v>
      </c>
      <c r="N256" s="730" t="e">
        <f>IF(D256="","",IF(AND('General Info and Test Results'!$C$34= "Yes", 'General Info and Test Results'!$C$24="Central Heat Pump"), IF(AND($AC$180&gt;C256,C256&gt;$AE$180),$AB$197+(($AB$198-$AB$197)/($AE$180-$AC$180))*(C256-$AC$180),$AB$198+(($AB$199-$AB$198)/($AD$180-$AE$180))*(C256-$AE$180)), $AA$195+$AA$193*C256+$AA$194*C256^2))</f>
        <v>#VALUE!</v>
      </c>
      <c r="O256" s="647" t="e">
        <f t="shared" si="82"/>
        <v>#VALUE!</v>
      </c>
      <c r="P256" s="647" t="e">
        <f t="shared" si="83"/>
        <v>#VALUE!</v>
      </c>
      <c r="Q256" s="647" t="e">
        <f t="shared" si="84"/>
        <v>#VALUE!</v>
      </c>
      <c r="R256" s="647" t="e">
        <f t="shared" si="72"/>
        <v>#VALUE!</v>
      </c>
      <c r="S256" s="647" t="e">
        <f t="shared" si="85"/>
        <v>#VALUE!</v>
      </c>
      <c r="T256" s="647" t="e">
        <f t="shared" si="86"/>
        <v>#VALUE!</v>
      </c>
      <c r="U256" s="647" t="e">
        <f t="shared" si="73"/>
        <v>#VALUE!</v>
      </c>
      <c r="V256" s="647">
        <f>IF(D256="","",IF('General Info and Test Results'!$C$32="Yes",1+(0.03*(1-((MAX('H2 Test Recorded Data'!$D$11,1.5)-1.5)/(MIN('H2 Test Recorded Data'!$D$12,12)-1.5)))),1))</f>
        <v>1</v>
      </c>
      <c r="W256" s="621"/>
      <c r="X256" s="621"/>
      <c r="Y256" s="622"/>
      <c r="Z256" s="622"/>
      <c r="AA256" s="622"/>
      <c r="AB256" s="622"/>
      <c r="AC256" s="622"/>
      <c r="AD256" s="622"/>
      <c r="AE256" s="622"/>
      <c r="AF256" s="622"/>
      <c r="AG256" s="170"/>
      <c r="BH256" s="167"/>
    </row>
    <row r="257" spans="2:60" x14ac:dyDescent="0.35">
      <c r="B257" s="669">
        <f>IF(C257="","",Tables!A16)</f>
        <v>11</v>
      </c>
      <c r="C257" s="647">
        <f>IF(D257="","",Tables!B16)</f>
        <v>12</v>
      </c>
      <c r="D257" s="647">
        <f>IF(HLOOKUP($C$135,Tables!$A$1:$H$23,ROW()-240)=0,"",HLOOKUP($C$135,Tables!$A$1:$H$23,ROW()-240))</f>
        <v>1.2999999999999999E-2</v>
      </c>
      <c r="E257" s="647" t="e">
        <f t="shared" si="74"/>
        <v>#VALUE!</v>
      </c>
      <c r="F257" s="647" t="e">
        <f t="shared" si="75"/>
        <v>#VALUE!</v>
      </c>
      <c r="G257" s="647" t="e">
        <f t="shared" si="76"/>
        <v>#VALUE!</v>
      </c>
      <c r="H257" s="647" t="e">
        <f t="shared" si="77"/>
        <v>#VALUE!</v>
      </c>
      <c r="I257" s="647" t="e">
        <f t="shared" si="78"/>
        <v>#VALUE!</v>
      </c>
      <c r="J257" s="647" t="e">
        <f t="shared" si="71"/>
        <v>#VALUE!</v>
      </c>
      <c r="K257" s="647">
        <f t="shared" si="79"/>
        <v>0</v>
      </c>
      <c r="L257" s="647" t="e">
        <f t="shared" si="80"/>
        <v>#VALUE!</v>
      </c>
      <c r="M257" s="647">
        <f t="shared" si="81"/>
        <v>0</v>
      </c>
      <c r="N257" s="730" t="e">
        <f>IF(D257="","",IF(AND('General Info and Test Results'!$C$34= "Yes", 'General Info and Test Results'!$C$24="Central Heat Pump"), IF(AND($AC$180&gt;C257,C257&gt;$AE$180),$AB$197+(($AB$198-$AB$197)/($AE$180-$AC$180))*(C257-$AC$180),$AB$198+(($AB$199-$AB$198)/($AD$180-$AE$180))*(C257-$AE$180)), $AA$195+$AA$193*C257+$AA$194*C257^2))</f>
        <v>#VALUE!</v>
      </c>
      <c r="O257" s="647" t="e">
        <f t="shared" si="82"/>
        <v>#VALUE!</v>
      </c>
      <c r="P257" s="647" t="e">
        <f t="shared" si="83"/>
        <v>#VALUE!</v>
      </c>
      <c r="Q257" s="647" t="e">
        <f t="shared" si="84"/>
        <v>#VALUE!</v>
      </c>
      <c r="R257" s="647" t="e">
        <f t="shared" si="72"/>
        <v>#VALUE!</v>
      </c>
      <c r="S257" s="647" t="e">
        <f t="shared" si="85"/>
        <v>#VALUE!</v>
      </c>
      <c r="T257" s="647" t="e">
        <f t="shared" si="86"/>
        <v>#VALUE!</v>
      </c>
      <c r="U257" s="647" t="e">
        <f t="shared" si="73"/>
        <v>#VALUE!</v>
      </c>
      <c r="V257" s="647">
        <f>IF(D257="","",IF('General Info and Test Results'!$C$32="Yes",1+(0.03*(1-((MAX('H2 Test Recorded Data'!$D$11,1.5)-1.5)/(MIN('H2 Test Recorded Data'!$D$12,12)-1.5)))),1))</f>
        <v>1</v>
      </c>
      <c r="W257" s="621"/>
      <c r="X257" s="621"/>
      <c r="Y257" s="622"/>
      <c r="Z257" s="622"/>
      <c r="AA257" s="622"/>
      <c r="AB257" s="622"/>
      <c r="AC257" s="622"/>
      <c r="AD257" s="622"/>
      <c r="AE257" s="622"/>
      <c r="AF257" s="622"/>
      <c r="AG257" s="170"/>
      <c r="BH257" s="167"/>
    </row>
    <row r="258" spans="2:60" x14ac:dyDescent="0.35">
      <c r="B258" s="669">
        <f>IF(C258="","",Tables!A17)</f>
        <v>12</v>
      </c>
      <c r="C258" s="647">
        <f>IF(D258="","",Tables!B17)</f>
        <v>7</v>
      </c>
      <c r="D258" s="647">
        <f>IF(HLOOKUP($C$135,Tables!$A$1:$H$23,ROW()-240)=0,"",HLOOKUP($C$135,Tables!$A$1:$H$23,ROW()-240))</f>
        <v>6.0000000000000001E-3</v>
      </c>
      <c r="E258" s="647" t="e">
        <f t="shared" si="74"/>
        <v>#VALUE!</v>
      </c>
      <c r="F258" s="647" t="e">
        <f t="shared" si="75"/>
        <v>#VALUE!</v>
      </c>
      <c r="G258" s="647" t="e">
        <f t="shared" si="76"/>
        <v>#VALUE!</v>
      </c>
      <c r="H258" s="647" t="e">
        <f t="shared" si="77"/>
        <v>#VALUE!</v>
      </c>
      <c r="I258" s="647" t="e">
        <f t="shared" si="78"/>
        <v>#VALUE!</v>
      </c>
      <c r="J258" s="647" t="e">
        <f t="shared" si="71"/>
        <v>#VALUE!</v>
      </c>
      <c r="K258" s="647">
        <f t="shared" si="79"/>
        <v>0</v>
      </c>
      <c r="L258" s="647" t="e">
        <f t="shared" si="80"/>
        <v>#VALUE!</v>
      </c>
      <c r="M258" s="647">
        <f t="shared" si="81"/>
        <v>0</v>
      </c>
      <c r="N258" s="730" t="e">
        <f>IF(D258="","",IF(AND('General Info and Test Results'!$C$34= "Yes", 'General Info and Test Results'!$C$24="Central Heat Pump"), IF(AND($AC$180&gt;C258,C258&gt;$AE$180),$AB$197+(($AB$198-$AB$197)/($AE$180-$AC$180))*(C258-$AC$180),$AB$198+(($AB$199-$AB$198)/($AD$180-$AE$180))*(C258-$AE$180)), $AA$195+$AA$193*C258+$AA$194*C258^2))</f>
        <v>#VALUE!</v>
      </c>
      <c r="O258" s="647" t="e">
        <f t="shared" si="82"/>
        <v>#VALUE!</v>
      </c>
      <c r="P258" s="647" t="e">
        <f t="shared" si="83"/>
        <v>#VALUE!</v>
      </c>
      <c r="Q258" s="647" t="e">
        <f t="shared" si="84"/>
        <v>#VALUE!</v>
      </c>
      <c r="R258" s="647" t="e">
        <f t="shared" si="72"/>
        <v>#VALUE!</v>
      </c>
      <c r="S258" s="647" t="e">
        <f t="shared" si="85"/>
        <v>#VALUE!</v>
      </c>
      <c r="T258" s="647" t="e">
        <f t="shared" si="86"/>
        <v>#VALUE!</v>
      </c>
      <c r="U258" s="647" t="e">
        <f t="shared" si="73"/>
        <v>#VALUE!</v>
      </c>
      <c r="V258" s="647">
        <f>IF(D258="","",IF('General Info and Test Results'!$C$32="Yes",1+(0.03*(1-((MAX('H2 Test Recorded Data'!$D$11,1.5)-1.5)/(MIN('H2 Test Recorded Data'!$D$12,12)-1.5)))),1))</f>
        <v>1</v>
      </c>
      <c r="W258" s="621"/>
      <c r="X258" s="621"/>
      <c r="Y258" s="622"/>
      <c r="Z258" s="622"/>
      <c r="AA258" s="622"/>
      <c r="AB258" s="622"/>
      <c r="AC258" s="622"/>
      <c r="AD258" s="622"/>
      <c r="AE258" s="622"/>
      <c r="AF258" s="622"/>
      <c r="AG258" s="170"/>
      <c r="BH258" s="167"/>
    </row>
    <row r="259" spans="2:60" x14ac:dyDescent="0.35">
      <c r="B259" s="669">
        <f>IF(C259="","",Tables!A18)</f>
        <v>13</v>
      </c>
      <c r="C259" s="647">
        <f>IF(D259="","",Tables!B18)</f>
        <v>2</v>
      </c>
      <c r="D259" s="647">
        <f>IF(HLOOKUP($C$135,Tables!$A$1:$H$23,ROW()-240)=0,"",HLOOKUP($C$135,Tables!$A$1:$H$23,ROW()-240))</f>
        <v>2E-3</v>
      </c>
      <c r="E259" s="647" t="e">
        <f t="shared" si="74"/>
        <v>#VALUE!</v>
      </c>
      <c r="F259" s="647" t="e">
        <f t="shared" si="75"/>
        <v>#VALUE!</v>
      </c>
      <c r="G259" s="647" t="e">
        <f t="shared" si="76"/>
        <v>#VALUE!</v>
      </c>
      <c r="H259" s="647" t="e">
        <f t="shared" si="77"/>
        <v>#VALUE!</v>
      </c>
      <c r="I259" s="647" t="e">
        <f t="shared" si="78"/>
        <v>#VALUE!</v>
      </c>
      <c r="J259" s="647" t="e">
        <f t="shared" si="71"/>
        <v>#VALUE!</v>
      </c>
      <c r="K259" s="647">
        <f t="shared" si="79"/>
        <v>0</v>
      </c>
      <c r="L259" s="647" t="e">
        <f t="shared" si="80"/>
        <v>#VALUE!</v>
      </c>
      <c r="M259" s="647">
        <f t="shared" si="81"/>
        <v>0</v>
      </c>
      <c r="N259" s="730" t="e">
        <f>IF(D259="","",IF(AND('General Info and Test Results'!$C$34= "Yes", 'General Info and Test Results'!$C$24="Central Heat Pump"), IF(AND($AC$180&gt;C259,C259&gt;$AE$180),$AB$197+(($AB$198-$AB$197)/($AE$180-$AC$180))*(C259-$AC$180),$AB$198+(($AB$199-$AB$198)/($AD$180-$AE$180))*(C259-$AE$180)), $AA$195+$AA$193*C259+$AA$194*C259^2))</f>
        <v>#VALUE!</v>
      </c>
      <c r="O259" s="647" t="e">
        <f t="shared" si="82"/>
        <v>#VALUE!</v>
      </c>
      <c r="P259" s="647" t="e">
        <f t="shared" si="83"/>
        <v>#VALUE!</v>
      </c>
      <c r="Q259" s="647" t="e">
        <f t="shared" si="84"/>
        <v>#VALUE!</v>
      </c>
      <c r="R259" s="647" t="e">
        <f t="shared" si="72"/>
        <v>#VALUE!</v>
      </c>
      <c r="S259" s="647" t="e">
        <f t="shared" si="85"/>
        <v>#VALUE!</v>
      </c>
      <c r="T259" s="647" t="e">
        <f t="shared" si="86"/>
        <v>#VALUE!</v>
      </c>
      <c r="U259" s="647" t="e">
        <f t="shared" si="73"/>
        <v>#VALUE!</v>
      </c>
      <c r="V259" s="647">
        <f>IF(D259="","",IF('General Info and Test Results'!$C$32="Yes",1+(0.03*(1-((MAX('H2 Test Recorded Data'!$D$11,1.5)-1.5)/(MIN('H2 Test Recorded Data'!$D$12,12)-1.5)))),1))</f>
        <v>1</v>
      </c>
      <c r="W259" s="621"/>
      <c r="X259" s="621"/>
      <c r="Y259" s="622"/>
      <c r="Z259" s="622"/>
      <c r="AA259" s="622"/>
      <c r="AB259" s="622"/>
      <c r="AC259" s="622"/>
      <c r="AD259" s="622"/>
      <c r="AE259" s="622"/>
      <c r="AF259" s="622"/>
      <c r="AG259" s="170"/>
      <c r="BH259" s="167"/>
    </row>
    <row r="260" spans="2:60" x14ac:dyDescent="0.35">
      <c r="B260" s="669">
        <f>IF(C260="","",Tables!A19)</f>
        <v>14</v>
      </c>
      <c r="C260" s="647">
        <f>IF(D260="","",Tables!B19)</f>
        <v>-3</v>
      </c>
      <c r="D260" s="647">
        <f>IF(HLOOKUP($C$135,Tables!$A$1:$H$23,ROW()-240)=0,"",HLOOKUP($C$135,Tables!$A$1:$H$23,ROW()-240))</f>
        <v>1E-3</v>
      </c>
      <c r="E260" s="647" t="e">
        <f t="shared" si="74"/>
        <v>#VALUE!</v>
      </c>
      <c r="F260" s="647" t="e">
        <f t="shared" si="75"/>
        <v>#VALUE!</v>
      </c>
      <c r="G260" s="647" t="e">
        <f t="shared" si="76"/>
        <v>#VALUE!</v>
      </c>
      <c r="H260" s="647" t="e">
        <f t="shared" si="77"/>
        <v>#VALUE!</v>
      </c>
      <c r="I260" s="647" t="e">
        <f t="shared" si="78"/>
        <v>#VALUE!</v>
      </c>
      <c r="J260" s="647" t="e">
        <f t="shared" si="71"/>
        <v>#VALUE!</v>
      </c>
      <c r="K260" s="647">
        <f t="shared" si="79"/>
        <v>0</v>
      </c>
      <c r="L260" s="647" t="e">
        <f t="shared" si="80"/>
        <v>#VALUE!</v>
      </c>
      <c r="M260" s="647">
        <f t="shared" si="81"/>
        <v>0</v>
      </c>
      <c r="N260" s="730" t="e">
        <f>IF(D260="","",IF(AND('General Info and Test Results'!$C$34= "Yes", 'General Info and Test Results'!$C$24="Central Heat Pump"), IF(AND($AC$180&gt;C260,C260&gt;$AE$180),$AB$197+(($AB$198-$AB$197)/($AE$180-$AC$180))*(C260-$AC$180),$AB$198+(($AB$199-$AB$198)/($AD$180-$AE$180))*(C260-$AE$180)), $AA$195+$AA$193*C260+$AA$194*C260^2))</f>
        <v>#VALUE!</v>
      </c>
      <c r="O260" s="647" t="e">
        <f t="shared" si="82"/>
        <v>#VALUE!</v>
      </c>
      <c r="P260" s="647" t="e">
        <f t="shared" si="83"/>
        <v>#VALUE!</v>
      </c>
      <c r="Q260" s="647" t="e">
        <f t="shared" si="84"/>
        <v>#VALUE!</v>
      </c>
      <c r="R260" s="647" t="e">
        <f t="shared" si="72"/>
        <v>#VALUE!</v>
      </c>
      <c r="S260" s="647" t="e">
        <f t="shared" si="85"/>
        <v>#VALUE!</v>
      </c>
      <c r="T260" s="647" t="e">
        <f t="shared" si="86"/>
        <v>#VALUE!</v>
      </c>
      <c r="U260" s="647" t="e">
        <f t="shared" si="73"/>
        <v>#VALUE!</v>
      </c>
      <c r="V260" s="647">
        <f>IF(D260="","",IF('General Info and Test Results'!$C$32="Yes",1+(0.03*(1-((MAX('H2 Test Recorded Data'!$D$11,1.5)-1.5)/(MIN('H2 Test Recorded Data'!$D$12,12)-1.5)))),1))</f>
        <v>1</v>
      </c>
      <c r="W260" s="621"/>
      <c r="X260" s="621"/>
      <c r="Y260" s="622"/>
      <c r="Z260" s="622"/>
      <c r="AA260" s="622"/>
      <c r="AB260" s="622"/>
      <c r="AC260" s="622"/>
      <c r="AD260" s="622"/>
      <c r="AE260" s="622"/>
      <c r="AF260" s="622"/>
      <c r="AG260" s="170"/>
      <c r="BH260" s="167"/>
    </row>
    <row r="261" spans="2:60" x14ac:dyDescent="0.35">
      <c r="B261" s="669" t="str">
        <f>IF(C261="","",Tables!A20)</f>
        <v/>
      </c>
      <c r="C261" s="647" t="str">
        <f>IF(D261="","",Tables!B20)</f>
        <v/>
      </c>
      <c r="D261" s="647" t="str">
        <f>IF(HLOOKUP($C$135,Tables!$A$1:$H$23,ROW()-240)=0,"",HLOOKUP($C$135,Tables!$A$1:$H$23,ROW()-240))</f>
        <v/>
      </c>
      <c r="E261" s="647" t="str">
        <f t="shared" si="74"/>
        <v/>
      </c>
      <c r="F261" s="647" t="str">
        <f t="shared" si="75"/>
        <v/>
      </c>
      <c r="G261" s="647" t="str">
        <f t="shared" si="76"/>
        <v/>
      </c>
      <c r="H261" s="647" t="str">
        <f t="shared" si="77"/>
        <v/>
      </c>
      <c r="I261" s="647" t="str">
        <f t="shared" si="78"/>
        <v/>
      </c>
      <c r="J261" s="647" t="str">
        <f t="shared" si="71"/>
        <v/>
      </c>
      <c r="K261" s="647" t="str">
        <f t="shared" si="79"/>
        <v/>
      </c>
      <c r="L261" s="647" t="str">
        <f t="shared" si="80"/>
        <v/>
      </c>
      <c r="M261" s="647" t="str">
        <f t="shared" si="81"/>
        <v/>
      </c>
      <c r="N261" s="730" t="str">
        <f>IF(D261="","",IF(AND('General Info and Test Results'!$C$34= "Yes", 'General Info and Test Results'!$C$24="Central Heat Pump"), IF(AND($AC$180&gt;C261,C261&gt;$AE$180),$AB$197+(($AB$198-$AB$197)/($AE$180-$AC$180))*(C261-$AC$180),$AB$198+(($AB$199-$AB$198)/($AD$180-$AE$180))*(C261-$AE$180)), $AA$195+$AA$193*C261+$AA$194*C261^2))</f>
        <v/>
      </c>
      <c r="O261" s="647" t="str">
        <f t="shared" si="82"/>
        <v/>
      </c>
      <c r="P261" s="647" t="str">
        <f t="shared" si="83"/>
        <v/>
      </c>
      <c r="Q261" s="647" t="str">
        <f t="shared" si="84"/>
        <v/>
      </c>
      <c r="R261" s="647" t="str">
        <f t="shared" si="72"/>
        <v/>
      </c>
      <c r="S261" s="647" t="str">
        <f t="shared" si="85"/>
        <v/>
      </c>
      <c r="T261" s="647" t="str">
        <f t="shared" si="86"/>
        <v/>
      </c>
      <c r="U261" s="647" t="str">
        <f t="shared" si="73"/>
        <v/>
      </c>
      <c r="V261" s="647" t="str">
        <f>IF(D261="","",IF('General Info and Test Results'!$C$32="Yes",1+(0.03*(1-((MAX('H2 Test Recorded Data'!$D$11,1.5)-1.5)/(MIN('H2 Test Recorded Data'!$D$12,12)-1.5)))),1))</f>
        <v/>
      </c>
      <c r="W261" s="621"/>
      <c r="X261" s="621"/>
      <c r="Y261" s="622"/>
      <c r="Z261" s="622"/>
      <c r="AA261" s="622"/>
      <c r="AB261" s="622"/>
      <c r="AC261" s="622"/>
      <c r="AD261" s="622"/>
      <c r="AE261" s="622"/>
      <c r="AF261" s="622"/>
      <c r="AG261" s="170"/>
      <c r="BH261" s="167"/>
    </row>
    <row r="262" spans="2:60" x14ac:dyDescent="0.35">
      <c r="B262" s="669" t="str">
        <f>IF(C262="","",Tables!A21)</f>
        <v/>
      </c>
      <c r="C262" s="647" t="str">
        <f>IF(D262="","",Tables!B21)</f>
        <v/>
      </c>
      <c r="D262" s="647" t="str">
        <f>IF(HLOOKUP($C$135,Tables!$A$1:$H$23,ROW()-240)=0,"",HLOOKUP($C$135,Tables!$A$1:$H$23,ROW()-240))</f>
        <v/>
      </c>
      <c r="E262" s="647" t="str">
        <f t="shared" si="74"/>
        <v/>
      </c>
      <c r="F262" s="647" t="str">
        <f t="shared" si="75"/>
        <v/>
      </c>
      <c r="G262" s="647" t="str">
        <f t="shared" si="76"/>
        <v/>
      </c>
      <c r="H262" s="647" t="str">
        <f t="shared" si="77"/>
        <v/>
      </c>
      <c r="I262" s="647" t="str">
        <f t="shared" si="78"/>
        <v/>
      </c>
      <c r="J262" s="647" t="str">
        <f t="shared" si="71"/>
        <v/>
      </c>
      <c r="K262" s="647" t="str">
        <f t="shared" si="79"/>
        <v/>
      </c>
      <c r="L262" s="647" t="str">
        <f t="shared" si="80"/>
        <v/>
      </c>
      <c r="M262" s="647" t="str">
        <f t="shared" si="81"/>
        <v/>
      </c>
      <c r="N262" s="730" t="str">
        <f>IF(D262="","",IF(AND('General Info and Test Results'!$C$34= "Yes", 'General Info and Test Results'!$C$24="Central Heat Pump"), IF(AND($AC$180&gt;C262,C262&gt;$AE$180),$AB$197+(($AB$198-$AB$197)/($AE$180-$AC$180))*(C262-$AC$180),$AB$198+(($AB$199-$AB$198)/($AD$180-$AE$180))*(C262-$AE$180)), $AA$195+$AA$193*C262+$AA$194*C262^2))</f>
        <v/>
      </c>
      <c r="O262" s="647" t="str">
        <f t="shared" si="82"/>
        <v/>
      </c>
      <c r="P262" s="647" t="str">
        <f t="shared" si="83"/>
        <v/>
      </c>
      <c r="Q262" s="647" t="str">
        <f t="shared" si="84"/>
        <v/>
      </c>
      <c r="R262" s="647" t="str">
        <f t="shared" si="72"/>
        <v/>
      </c>
      <c r="S262" s="647" t="str">
        <f t="shared" si="85"/>
        <v/>
      </c>
      <c r="T262" s="647" t="str">
        <f t="shared" si="86"/>
        <v/>
      </c>
      <c r="U262" s="647" t="str">
        <f t="shared" si="73"/>
        <v/>
      </c>
      <c r="V262" s="647" t="str">
        <f>IF(D262="","",IF('General Info and Test Results'!$C$32="Yes",1+(0.03*(1-((MAX('H2 Test Recorded Data'!$D$11,1.5)-1.5)/(MIN('H2 Test Recorded Data'!$D$12,12)-1.5)))),1))</f>
        <v/>
      </c>
      <c r="W262" s="621"/>
      <c r="X262" s="621"/>
      <c r="Y262" s="622"/>
      <c r="Z262" s="622"/>
      <c r="AA262" s="622"/>
      <c r="AB262" s="622"/>
      <c r="AC262" s="622"/>
      <c r="AD262" s="622"/>
      <c r="AE262" s="622"/>
      <c r="AF262" s="622"/>
      <c r="AG262" s="170"/>
      <c r="BH262" s="167"/>
    </row>
    <row r="263" spans="2:60" x14ac:dyDescent="0.35">
      <c r="B263" s="669" t="str">
        <f>IF(C263="","",Tables!A22)</f>
        <v/>
      </c>
      <c r="C263" s="647" t="str">
        <f>IF(D263="","",Tables!B22)</f>
        <v/>
      </c>
      <c r="D263" s="647" t="str">
        <f>IF(HLOOKUP($C$135,Tables!$A$1:$H$23,ROW()-240)=0,"",HLOOKUP($C$135,Tables!$A$1:$H$23,ROW()-240))</f>
        <v/>
      </c>
      <c r="E263" s="647" t="str">
        <f t="shared" si="74"/>
        <v/>
      </c>
      <c r="F263" s="647" t="str">
        <f t="shared" si="75"/>
        <v/>
      </c>
      <c r="G263" s="647" t="str">
        <f t="shared" si="76"/>
        <v/>
      </c>
      <c r="H263" s="647" t="str">
        <f t="shared" si="77"/>
        <v/>
      </c>
      <c r="I263" s="647" t="str">
        <f t="shared" si="78"/>
        <v/>
      </c>
      <c r="J263" s="647" t="str">
        <f t="shared" si="71"/>
        <v/>
      </c>
      <c r="K263" s="647" t="str">
        <f t="shared" si="79"/>
        <v/>
      </c>
      <c r="L263" s="647" t="str">
        <f t="shared" si="80"/>
        <v/>
      </c>
      <c r="M263" s="647" t="str">
        <f t="shared" si="81"/>
        <v/>
      </c>
      <c r="N263" s="730" t="str">
        <f>IF(D263="","",IF(AND('General Info and Test Results'!$C$34= "Yes", 'General Info and Test Results'!$C$24="Central Heat Pump"), IF(AND($AC$180&gt;C263,C263&gt;$AE$180),$AB$197+(($AB$198-$AB$197)/($AE$180-$AC$180))*(C263-$AC$180),$AB$198+(($AB$199-$AB$198)/($AD$180-$AE$180))*(C263-$AE$180)), $AA$195+$AA$193*C263+$AA$194*C263^2))</f>
        <v/>
      </c>
      <c r="O263" s="647" t="str">
        <f t="shared" si="82"/>
        <v/>
      </c>
      <c r="P263" s="647" t="str">
        <f t="shared" si="83"/>
        <v/>
      </c>
      <c r="Q263" s="647" t="str">
        <f t="shared" si="84"/>
        <v/>
      </c>
      <c r="R263" s="647" t="str">
        <f t="shared" si="72"/>
        <v/>
      </c>
      <c r="S263" s="647" t="str">
        <f t="shared" si="85"/>
        <v/>
      </c>
      <c r="T263" s="647" t="str">
        <f t="shared" si="86"/>
        <v/>
      </c>
      <c r="U263" s="647" t="str">
        <f t="shared" si="73"/>
        <v/>
      </c>
      <c r="V263" s="647" t="str">
        <f>IF(D263="","",IF('General Info and Test Results'!$C$32="Yes",1+(0.03*(1-((MAX('H2 Test Recorded Data'!$D$11,1.5)-1.5)/(MIN('H2 Test Recorded Data'!$D$12,12)-1.5)))),1))</f>
        <v/>
      </c>
      <c r="W263" s="621"/>
      <c r="X263" s="621"/>
      <c r="Y263" s="622"/>
      <c r="Z263" s="622"/>
      <c r="AA263" s="622"/>
      <c r="AB263" s="622"/>
      <c r="AC263" s="622"/>
      <c r="AD263" s="622"/>
      <c r="AE263" s="622"/>
      <c r="AF263" s="622"/>
      <c r="AG263" s="170"/>
      <c r="BH263" s="167"/>
    </row>
    <row r="264" spans="2:60" x14ac:dyDescent="0.35">
      <c r="B264" s="669" t="e">
        <f>IF(C264="","",Tables!A23)</f>
        <v>#REF!</v>
      </c>
      <c r="C264" s="647" t="e">
        <f>IF(D264="","",Tables!B23)</f>
        <v>#REF!</v>
      </c>
      <c r="D264" s="647" t="e">
        <f>IF(HLOOKUP($C$135,Tables!$A$1:$H$23,ROW()-240)=0,"",HLOOKUP($C$135,Tables!$A$1:$H$23,ROW()-240))</f>
        <v>#REF!</v>
      </c>
      <c r="E264" s="647" t="e">
        <f t="shared" si="74"/>
        <v>#REF!</v>
      </c>
      <c r="F264" s="647" t="e">
        <f t="shared" si="75"/>
        <v>#REF!</v>
      </c>
      <c r="G264" s="647" t="e">
        <f t="shared" si="76"/>
        <v>#REF!</v>
      </c>
      <c r="H264" s="647" t="e">
        <f t="shared" si="77"/>
        <v>#REF!</v>
      </c>
      <c r="I264" s="647" t="e">
        <f t="shared" si="78"/>
        <v>#REF!</v>
      </c>
      <c r="J264" s="647" t="e">
        <f t="shared" si="71"/>
        <v>#REF!</v>
      </c>
      <c r="K264" s="647" t="e">
        <f t="shared" si="79"/>
        <v>#REF!</v>
      </c>
      <c r="L264" s="647" t="e">
        <f t="shared" si="80"/>
        <v>#REF!</v>
      </c>
      <c r="M264" s="647" t="e">
        <f t="shared" si="81"/>
        <v>#REF!</v>
      </c>
      <c r="N264" s="730" t="e">
        <f>IF(D264="","",IF(AND('General Info and Test Results'!$C$34= "Yes", 'General Info and Test Results'!$C$24="Central Heat Pump"), IF(AND($AC$180&gt;C264,C264&gt;$AE$180),$AB$197+(($AB$198-$AB$197)/($AE$180-$AC$180))*(C264-$AC$180),$AB$198+(($AB$199-$AB$198)/($AD$180-$AE$180))*(C264-$AE$180)), $AA$195+$AA$193*C264+$AA$194*C264^2))</f>
        <v>#REF!</v>
      </c>
      <c r="O264" s="647" t="e">
        <f t="shared" si="82"/>
        <v>#REF!</v>
      </c>
      <c r="P264" s="647" t="e">
        <f t="shared" si="83"/>
        <v>#REF!</v>
      </c>
      <c r="Q264" s="647" t="e">
        <f t="shared" si="84"/>
        <v>#REF!</v>
      </c>
      <c r="R264" s="647" t="e">
        <f t="shared" si="72"/>
        <v>#REF!</v>
      </c>
      <c r="S264" s="647" t="e">
        <f t="shared" si="85"/>
        <v>#REF!</v>
      </c>
      <c r="T264" s="647" t="e">
        <f t="shared" si="86"/>
        <v>#REF!</v>
      </c>
      <c r="U264" s="647" t="e">
        <f t="shared" si="73"/>
        <v>#REF!</v>
      </c>
      <c r="V264" s="647" t="e">
        <f>IF(D264="","",IF('General Info and Test Results'!$C$32="Yes",1+(0.03*(1-((MAX('H2 Test Recorded Data'!$D$11,1.5)-1.5)/(MIN('H2 Test Recorded Data'!$D$12,12)-1.5)))),1))</f>
        <v>#REF!</v>
      </c>
      <c r="W264" s="621"/>
      <c r="X264" s="621"/>
      <c r="Y264" s="622"/>
      <c r="Z264" s="622"/>
      <c r="AA264" s="622"/>
      <c r="AB264" s="622"/>
      <c r="AC264" s="622"/>
      <c r="AD264" s="622"/>
      <c r="AE264" s="622"/>
      <c r="AF264" s="622"/>
      <c r="AG264" s="170"/>
      <c r="BH264" s="167"/>
    </row>
    <row r="265" spans="2:60" x14ac:dyDescent="0.35">
      <c r="B265" s="658"/>
      <c r="C265" s="650"/>
      <c r="D265" s="650"/>
      <c r="E265" s="650"/>
      <c r="F265" s="650"/>
      <c r="G265" s="650"/>
      <c r="H265" s="650"/>
      <c r="I265" s="650"/>
      <c r="J265" s="650"/>
      <c r="K265" s="650"/>
      <c r="L265" s="650"/>
      <c r="M265" s="650"/>
      <c r="N265" s="650"/>
      <c r="O265" s="650"/>
      <c r="P265" s="650"/>
      <c r="Q265" s="650"/>
      <c r="R265" s="621"/>
      <c r="S265" s="621"/>
      <c r="T265" s="621"/>
      <c r="U265" s="621"/>
      <c r="V265" s="659"/>
      <c r="W265" s="622"/>
      <c r="X265" s="621"/>
      <c r="Y265" s="622"/>
      <c r="Z265" s="622"/>
      <c r="AA265" s="622"/>
      <c r="AB265" s="622"/>
      <c r="AC265" s="622"/>
      <c r="AD265" s="622"/>
      <c r="AE265" s="622"/>
      <c r="AF265" s="622"/>
      <c r="AG265" s="170"/>
    </row>
    <row r="266" spans="2:60" x14ac:dyDescent="0.35">
      <c r="B266" s="698" t="s">
        <v>134</v>
      </c>
      <c r="C266" s="647" t="e">
        <f>SUM(S247:S262)</f>
        <v>#VALUE!</v>
      </c>
      <c r="D266" s="650"/>
      <c r="E266" s="650"/>
      <c r="F266" s="650"/>
      <c r="G266" s="650"/>
      <c r="H266" s="650"/>
      <c r="I266" s="650"/>
      <c r="J266" s="650"/>
      <c r="K266" s="650"/>
      <c r="L266" s="650"/>
      <c r="M266" s="650"/>
      <c r="N266" s="650"/>
      <c r="O266" s="650"/>
      <c r="P266" s="650"/>
      <c r="Q266" s="650"/>
      <c r="R266" s="621"/>
      <c r="S266" s="621"/>
      <c r="T266" s="621"/>
      <c r="U266" s="621"/>
      <c r="V266" s="659"/>
      <c r="W266" s="622"/>
      <c r="X266" s="622"/>
      <c r="Y266" s="622"/>
      <c r="Z266" s="622"/>
      <c r="AA266" s="622"/>
      <c r="AB266" s="622"/>
      <c r="AC266" s="622"/>
      <c r="AD266" s="622"/>
      <c r="AE266" s="622"/>
      <c r="AF266" s="622"/>
      <c r="AG266" s="170"/>
    </row>
    <row r="267" spans="2:60" x14ac:dyDescent="0.35">
      <c r="B267" s="698" t="s">
        <v>135</v>
      </c>
      <c r="C267" s="647" t="e">
        <f>SUM(T247:T262)</f>
        <v>#VALUE!</v>
      </c>
      <c r="D267" s="650"/>
      <c r="E267" s="650"/>
      <c r="F267" s="650"/>
      <c r="G267" s="650"/>
      <c r="H267" s="650"/>
      <c r="I267" s="650"/>
      <c r="J267" s="650"/>
      <c r="K267" s="650"/>
      <c r="L267" s="650"/>
      <c r="M267" s="650"/>
      <c r="N267" s="650"/>
      <c r="O267" s="650"/>
      <c r="P267" s="650"/>
      <c r="Q267" s="650"/>
      <c r="R267" s="621"/>
      <c r="S267" s="621"/>
      <c r="T267" s="621"/>
      <c r="U267" s="621"/>
      <c r="V267" s="659"/>
      <c r="W267" s="622"/>
      <c r="X267" s="622"/>
      <c r="Y267" s="622"/>
      <c r="Z267" s="622"/>
      <c r="AA267" s="622"/>
      <c r="AB267" s="622"/>
      <c r="AC267" s="622"/>
      <c r="AD267" s="622"/>
      <c r="AE267" s="622"/>
      <c r="AF267" s="622"/>
      <c r="AG267" s="170"/>
    </row>
    <row r="268" spans="2:60" x14ac:dyDescent="0.35">
      <c r="B268" s="698" t="s">
        <v>133</v>
      </c>
      <c r="C268" s="647" t="e">
        <f>SUM(U247:U262)</f>
        <v>#VALUE!</v>
      </c>
      <c r="D268" s="650"/>
      <c r="E268" s="650"/>
      <c r="F268" s="650"/>
      <c r="G268" s="650"/>
      <c r="H268" s="650"/>
      <c r="I268" s="650"/>
      <c r="J268" s="650"/>
      <c r="K268" s="650"/>
      <c r="L268" s="650"/>
      <c r="M268" s="650"/>
      <c r="N268" s="650"/>
      <c r="O268" s="650"/>
      <c r="P268" s="650"/>
      <c r="Q268" s="650"/>
      <c r="R268" s="621"/>
      <c r="S268" s="621"/>
      <c r="T268" s="621"/>
      <c r="U268" s="621"/>
      <c r="V268" s="659"/>
      <c r="W268" s="622"/>
      <c r="X268" s="622"/>
      <c r="Y268" s="622"/>
      <c r="Z268" s="622"/>
      <c r="AA268" s="622"/>
      <c r="AB268" s="622"/>
      <c r="AC268" s="622"/>
      <c r="AD268" s="622"/>
      <c r="AE268" s="622"/>
      <c r="AF268" s="622"/>
      <c r="AG268" s="170"/>
    </row>
    <row r="269" spans="2:60" ht="34.5" customHeight="1" thickBot="1" x14ac:dyDescent="0.4">
      <c r="B269" s="643"/>
      <c r="C269" s="741" t="s">
        <v>625</v>
      </c>
      <c r="D269" s="918" t="s">
        <v>626</v>
      </c>
      <c r="E269" s="918"/>
      <c r="F269" s="650"/>
      <c r="G269" s="650"/>
      <c r="H269" s="650"/>
      <c r="I269" s="650"/>
      <c r="J269" s="650"/>
      <c r="K269" s="650"/>
      <c r="L269" s="650"/>
      <c r="M269" s="650"/>
      <c r="N269" s="650"/>
      <c r="O269" s="650"/>
      <c r="P269" s="650"/>
      <c r="Q269" s="650"/>
      <c r="R269" s="621"/>
      <c r="S269" s="621"/>
      <c r="T269" s="621"/>
      <c r="U269" s="621"/>
      <c r="V269" s="659"/>
      <c r="W269" s="622"/>
      <c r="X269" s="622"/>
      <c r="Y269" s="622"/>
      <c r="Z269" s="622"/>
      <c r="AA269" s="622"/>
      <c r="AB269" s="622"/>
      <c r="AC269" s="622"/>
      <c r="AD269" s="622"/>
      <c r="AE269" s="622"/>
      <c r="AF269" s="622"/>
      <c r="AG269" s="170"/>
    </row>
    <row r="270" spans="2:60" ht="18.75" thickBot="1" x14ac:dyDescent="0.4">
      <c r="B270" s="665" t="s">
        <v>121</v>
      </c>
      <c r="C270" s="666" t="e">
        <f>C268/(C266+C267)*V247</f>
        <v>#VALUE!</v>
      </c>
      <c r="D270" s="1040"/>
      <c r="E270" s="1040"/>
      <c r="F270" s="650"/>
      <c r="G270" s="650"/>
      <c r="H270" s="650"/>
      <c r="I270" s="650"/>
      <c r="J270" s="650"/>
      <c r="K270" s="650"/>
      <c r="L270" s="650"/>
      <c r="M270" s="650"/>
      <c r="N270" s="650"/>
      <c r="O270" s="650"/>
      <c r="P270" s="650"/>
      <c r="Q270" s="650"/>
      <c r="R270" s="621"/>
      <c r="S270" s="621"/>
      <c r="T270" s="621"/>
      <c r="U270" s="621"/>
      <c r="V270" s="659"/>
      <c r="W270" s="622"/>
      <c r="X270" s="622"/>
      <c r="Y270" s="622"/>
      <c r="Z270" s="622"/>
      <c r="AA270" s="622"/>
      <c r="AB270" s="622"/>
      <c r="AC270" s="622"/>
      <c r="AD270" s="622"/>
      <c r="AE270" s="622"/>
      <c r="AF270" s="622"/>
      <c r="AG270" s="170"/>
    </row>
    <row r="271" spans="2:60" ht="18.75" thickBot="1" x14ac:dyDescent="0.4">
      <c r="B271" s="687"/>
      <c r="C271" s="656"/>
      <c r="D271" s="656"/>
      <c r="E271" s="656"/>
      <c r="F271" s="656"/>
      <c r="G271" s="656"/>
      <c r="H271" s="656"/>
      <c r="I271" s="656"/>
      <c r="J271" s="656"/>
      <c r="K271" s="656"/>
      <c r="L271" s="656"/>
      <c r="M271" s="656"/>
      <c r="N271" s="656"/>
      <c r="O271" s="656"/>
      <c r="P271" s="656"/>
      <c r="Q271" s="656"/>
      <c r="R271" s="688"/>
      <c r="S271" s="688"/>
      <c r="T271" s="688"/>
      <c r="U271" s="688"/>
      <c r="V271" s="689"/>
      <c r="W271" s="622"/>
      <c r="X271" s="622"/>
      <c r="Y271" s="622"/>
      <c r="Z271" s="622"/>
      <c r="AA271" s="622"/>
      <c r="AB271" s="622"/>
      <c r="AC271" s="622"/>
      <c r="AD271" s="622"/>
      <c r="AE271" s="622"/>
      <c r="AF271" s="622"/>
      <c r="AG271" s="170"/>
    </row>
    <row r="272" spans="2:60" ht="18.75" thickBot="1" x14ac:dyDescent="0.4">
      <c r="B272" s="650"/>
      <c r="C272" s="650"/>
      <c r="D272" s="650"/>
      <c r="E272" s="650"/>
      <c r="F272" s="650"/>
      <c r="G272" s="650"/>
      <c r="H272" s="650"/>
      <c r="I272" s="650"/>
      <c r="J272" s="650"/>
      <c r="K272" s="650"/>
      <c r="L272" s="650"/>
      <c r="M272" s="650"/>
      <c r="N272" s="650"/>
      <c r="O272" s="650"/>
      <c r="P272" s="650"/>
      <c r="Q272" s="650"/>
      <c r="R272" s="621"/>
      <c r="S272" s="621"/>
      <c r="T272" s="621"/>
      <c r="U272" s="621"/>
      <c r="V272" s="621"/>
      <c r="W272" s="622"/>
      <c r="X272" s="622"/>
      <c r="Y272" s="622"/>
      <c r="Z272" s="622"/>
      <c r="AA272" s="622"/>
      <c r="AB272" s="622"/>
      <c r="AC272" s="622"/>
      <c r="AD272" s="622"/>
      <c r="AE272" s="622"/>
      <c r="AF272" s="622"/>
      <c r="AG272" s="170"/>
    </row>
    <row r="273" spans="1:33" ht="18.75" thickBot="1" x14ac:dyDescent="0.4">
      <c r="B273" s="1037" t="s">
        <v>633</v>
      </c>
      <c r="C273" s="1038"/>
      <c r="D273" s="1038"/>
      <c r="E273" s="1039"/>
      <c r="F273" s="650"/>
      <c r="G273" s="650"/>
      <c r="H273" s="650"/>
      <c r="I273" s="650"/>
      <c r="J273" s="650"/>
      <c r="K273" s="650"/>
      <c r="L273" s="650"/>
      <c r="M273" s="650"/>
      <c r="N273" s="650"/>
      <c r="O273" s="650"/>
      <c r="P273" s="650"/>
      <c r="Q273" s="650"/>
      <c r="R273" s="621"/>
      <c r="S273" s="621"/>
      <c r="T273" s="621"/>
      <c r="U273" s="621"/>
      <c r="V273" s="621"/>
      <c r="W273" s="622"/>
      <c r="X273" s="622"/>
      <c r="Y273" s="622"/>
      <c r="Z273" s="622"/>
      <c r="AA273" s="622"/>
      <c r="AB273" s="622"/>
      <c r="AC273" s="622"/>
      <c r="AD273" s="622"/>
      <c r="AE273" s="622"/>
      <c r="AF273" s="622"/>
      <c r="AG273" s="170"/>
    </row>
    <row r="274" spans="1:33" x14ac:dyDescent="0.35">
      <c r="B274" s="398"/>
      <c r="C274" s="916"/>
      <c r="D274" s="916"/>
      <c r="E274" s="917"/>
      <c r="F274" s="650"/>
      <c r="G274" s="650"/>
      <c r="H274" s="650"/>
      <c r="I274" s="650"/>
      <c r="J274" s="650"/>
      <c r="K274" s="650"/>
      <c r="L274" s="650"/>
      <c r="M274" s="650"/>
      <c r="N274" s="650"/>
      <c r="O274" s="650"/>
      <c r="P274" s="650"/>
      <c r="Q274" s="650"/>
      <c r="R274" s="621"/>
      <c r="S274" s="621"/>
      <c r="T274" s="621"/>
      <c r="U274" s="621"/>
      <c r="V274" s="621"/>
      <c r="W274" s="622"/>
      <c r="X274" s="622"/>
      <c r="Y274" s="622"/>
      <c r="Z274" s="622"/>
      <c r="AA274" s="622"/>
      <c r="AB274" s="622"/>
      <c r="AC274" s="622"/>
      <c r="AD274" s="622"/>
      <c r="AE274" s="622"/>
      <c r="AF274" s="622"/>
      <c r="AG274" s="170"/>
    </row>
    <row r="275" spans="1:33" ht="42.75" customHeight="1" x14ac:dyDescent="0.35">
      <c r="B275" s="745" t="s">
        <v>155</v>
      </c>
      <c r="C275" s="741" t="s">
        <v>625</v>
      </c>
      <c r="D275" s="918" t="s">
        <v>626</v>
      </c>
      <c r="E275" s="919"/>
      <c r="F275" s="650"/>
      <c r="G275" s="650"/>
      <c r="H275" s="650"/>
      <c r="I275" s="650"/>
      <c r="J275" s="650"/>
      <c r="K275" s="650"/>
      <c r="L275" s="650"/>
      <c r="M275" s="650"/>
      <c r="N275" s="650"/>
      <c r="O275" s="650"/>
      <c r="P275" s="650"/>
      <c r="Q275" s="650"/>
      <c r="R275" s="621"/>
      <c r="S275" s="621"/>
      <c r="T275" s="621"/>
      <c r="U275" s="621"/>
      <c r="V275" s="621"/>
      <c r="W275" s="622"/>
      <c r="X275" s="622"/>
      <c r="Y275" s="622"/>
      <c r="Z275" s="622"/>
      <c r="AA275" s="622"/>
      <c r="AB275" s="622"/>
      <c r="AC275" s="622"/>
      <c r="AD275" s="622"/>
      <c r="AE275" s="622"/>
      <c r="AF275" s="622"/>
      <c r="AG275" s="170"/>
    </row>
    <row r="276" spans="1:33" x14ac:dyDescent="0.35">
      <c r="B276" s="746" t="s">
        <v>634</v>
      </c>
      <c r="C276" s="564" t="str">
        <f>IF(C45="","",Calculations!C45/Calculations!I45/3.412142)</f>
        <v/>
      </c>
      <c r="D276" s="909"/>
      <c r="E276" s="910"/>
      <c r="F276" s="650"/>
      <c r="G276" s="650"/>
      <c r="H276" s="650"/>
      <c r="I276" s="650"/>
      <c r="J276" s="650"/>
      <c r="K276" s="650"/>
      <c r="L276" s="650"/>
      <c r="M276" s="650"/>
      <c r="N276" s="650"/>
      <c r="O276" s="650"/>
      <c r="P276" s="650"/>
      <c r="Q276" s="650"/>
      <c r="R276" s="621"/>
      <c r="S276" s="621"/>
      <c r="T276" s="621"/>
      <c r="U276" s="621"/>
      <c r="V276" s="621"/>
      <c r="W276" s="622"/>
      <c r="X276" s="622"/>
      <c r="Y276" s="622"/>
      <c r="Z276" s="622"/>
      <c r="AA276" s="622"/>
      <c r="AB276" s="622"/>
      <c r="AC276" s="622"/>
      <c r="AD276" s="622"/>
      <c r="AE276" s="622"/>
      <c r="AF276" s="622"/>
      <c r="AG276" s="170"/>
    </row>
    <row r="277" spans="1:33" ht="18.75" thickBot="1" x14ac:dyDescent="0.4">
      <c r="B277" s="747" t="s">
        <v>635</v>
      </c>
      <c r="C277" s="577" t="str">
        <f>IF(C43="","",Calculations!C43/Calculations!I43/3.412142)</f>
        <v/>
      </c>
      <c r="D277" s="911"/>
      <c r="E277" s="912"/>
      <c r="F277" s="650"/>
      <c r="G277" s="650"/>
      <c r="H277" s="650"/>
      <c r="I277" s="650"/>
      <c r="J277" s="650"/>
      <c r="K277" s="650"/>
      <c r="L277" s="650"/>
      <c r="M277" s="650"/>
      <c r="N277" s="650"/>
      <c r="O277" s="650"/>
      <c r="P277" s="650"/>
      <c r="Q277" s="650"/>
      <c r="R277" s="621"/>
      <c r="S277" s="621"/>
      <c r="T277" s="621"/>
      <c r="U277" s="621"/>
      <c r="V277" s="621"/>
      <c r="W277" s="622"/>
      <c r="X277" s="622"/>
      <c r="Y277" s="622"/>
      <c r="Z277" s="622"/>
      <c r="AA277" s="622"/>
      <c r="AB277" s="622"/>
      <c r="AC277" s="622"/>
      <c r="AD277" s="622"/>
      <c r="AE277" s="622"/>
      <c r="AF277" s="622"/>
      <c r="AG277" s="170"/>
    </row>
    <row r="278" spans="1:33" x14ac:dyDescent="0.35">
      <c r="B278" s="650"/>
      <c r="C278" s="650"/>
      <c r="D278" s="650"/>
      <c r="E278" s="650"/>
      <c r="F278" s="650"/>
      <c r="G278" s="650"/>
      <c r="H278" s="650"/>
      <c r="I278" s="650"/>
      <c r="J278" s="650"/>
      <c r="K278" s="650"/>
      <c r="L278" s="650"/>
      <c r="M278" s="650"/>
      <c r="N278" s="650"/>
      <c r="O278" s="650"/>
      <c r="P278" s="650"/>
      <c r="Q278" s="650"/>
      <c r="R278" s="621"/>
      <c r="S278" s="621"/>
      <c r="T278" s="621"/>
      <c r="U278" s="621"/>
      <c r="V278" s="621"/>
      <c r="W278" s="622"/>
      <c r="X278" s="622"/>
      <c r="Y278" s="622"/>
      <c r="Z278" s="622"/>
      <c r="AA278" s="622"/>
      <c r="AB278" s="622"/>
      <c r="AC278" s="622"/>
      <c r="AD278" s="622"/>
      <c r="AE278" s="622"/>
      <c r="AF278" s="622"/>
      <c r="AG278" s="170"/>
    </row>
    <row r="279" spans="1:33" x14ac:dyDescent="0.35">
      <c r="A279" s="170"/>
      <c r="B279" s="740"/>
      <c r="C279" s="740"/>
      <c r="D279" s="740"/>
      <c r="E279" s="740"/>
      <c r="F279" s="740"/>
      <c r="G279" s="740"/>
      <c r="H279" s="740"/>
      <c r="I279" s="740"/>
      <c r="J279" s="740"/>
      <c r="K279" s="740"/>
      <c r="L279" s="740"/>
      <c r="M279" s="740"/>
      <c r="N279" s="740"/>
      <c r="O279" s="740"/>
      <c r="P279" s="740"/>
      <c r="Q279" s="740"/>
      <c r="R279" s="740"/>
      <c r="S279" s="740"/>
      <c r="T279" s="740"/>
      <c r="U279" s="740"/>
      <c r="V279" s="740"/>
      <c r="W279" s="740"/>
      <c r="X279" s="740"/>
      <c r="Y279" s="740"/>
      <c r="Z279" s="740"/>
      <c r="AA279" s="740"/>
      <c r="AB279" s="740"/>
      <c r="AC279" s="740"/>
      <c r="AD279" s="740"/>
      <c r="AE279" s="740"/>
      <c r="AF279" s="740"/>
      <c r="AG279" s="170"/>
    </row>
  </sheetData>
  <sheetProtection password="CA08" sheet="1" objects="1" scenarios="1" selectLockedCells="1"/>
  <customSheetViews>
    <customSheetView guid="{2A4C6EB9-430A-44F2-86C8-15B50360FC3B}" scale="60" showGridLines="0">
      <selection activeCell="F2" sqref="F2"/>
      <pageMargins left="0.7" right="0.7" top="0.75" bottom="0.75" header="0.3" footer="0.3"/>
      <pageSetup orientation="portrait" r:id="rId1"/>
    </customSheetView>
    <customSheetView guid="{B3BD5AF3-9A64-4EA7-AE1F-3CC326849B8F}" scale="80" showGridLines="0" topLeftCell="B16">
      <selection activeCell="D19" sqref="D19"/>
      <pageMargins left="0.7" right="0.7" top="0.75" bottom="0.75" header="0.3" footer="0.3"/>
      <pageSetup orientation="portrait" r:id="rId2"/>
    </customSheetView>
  </customSheetViews>
  <mergeCells count="47">
    <mergeCell ref="B11:G11"/>
    <mergeCell ref="G3:H3"/>
    <mergeCell ref="B61:S61"/>
    <mergeCell ref="B133:V133"/>
    <mergeCell ref="U88:AA88"/>
    <mergeCell ref="C24:F25"/>
    <mergeCell ref="G24:H25"/>
    <mergeCell ref="E26:F26"/>
    <mergeCell ref="C26:D26"/>
    <mergeCell ref="I24:J26"/>
    <mergeCell ref="D68:E68"/>
    <mergeCell ref="D69:E69"/>
    <mergeCell ref="D88:E88"/>
    <mergeCell ref="D89:E89"/>
    <mergeCell ref="D108:E108"/>
    <mergeCell ref="D109:E109"/>
    <mergeCell ref="B2:C2"/>
    <mergeCell ref="D12:G12"/>
    <mergeCell ref="B23:J23"/>
    <mergeCell ref="E209:E210"/>
    <mergeCell ref="F209:F210"/>
    <mergeCell ref="E140:F140"/>
    <mergeCell ref="B138:B139"/>
    <mergeCell ref="B140:B141"/>
    <mergeCell ref="C138:C139"/>
    <mergeCell ref="C140:C141"/>
    <mergeCell ref="E135:F135"/>
    <mergeCell ref="E137:F137"/>
    <mergeCell ref="E139:F139"/>
    <mergeCell ref="E138:F138"/>
    <mergeCell ref="E136:F136"/>
    <mergeCell ref="E3:F3"/>
    <mergeCell ref="D128:E128"/>
    <mergeCell ref="D129:E129"/>
    <mergeCell ref="D172:E172"/>
    <mergeCell ref="D173:E173"/>
    <mergeCell ref="D204:E204"/>
    <mergeCell ref="D205:E205"/>
    <mergeCell ref="D235:E235"/>
    <mergeCell ref="D236:E236"/>
    <mergeCell ref="D269:E269"/>
    <mergeCell ref="D270:E270"/>
    <mergeCell ref="B273:E273"/>
    <mergeCell ref="C274:E274"/>
    <mergeCell ref="D275:E275"/>
    <mergeCell ref="D276:E276"/>
    <mergeCell ref="D277:E277"/>
  </mergeCells>
  <phoneticPr fontId="26" type="noConversion"/>
  <conditionalFormatting sqref="C86:C87 C89 C74 C28 E28 G28:I28 B77:P84">
    <cfRule type="expression" dxfId="17" priority="291" stopIfTrue="1">
      <formula>OR($H$4="Heating Only Central Heat Pump",$H$6="Fixed Speed",$H$5&lt;&gt;"Single-Speed")</formula>
    </cfRule>
  </conditionalFormatting>
  <conditionalFormatting sqref="C31:C32 E31:E32 G31:I32 G29:I29 E29 C29">
    <cfRule type="expression" dxfId="16" priority="286" stopIfTrue="1">
      <formula>OR($H$4 = "Heating Only Central Heat Pump",AND($H$5 = "Single-Speed",$H$6 = "Fixed Speed"))</formula>
    </cfRule>
  </conditionalFormatting>
  <conditionalFormatting sqref="C106:C107 C109 C93 C35 E35 G35:I35 C38 E38 G38:I38 B97:N104">
    <cfRule type="expression" dxfId="15" priority="285" stopIfTrue="1">
      <formula>OR($H$5&lt;&gt;"Two-Speed",$H$4="Heating Only Central Heat Pump")</formula>
    </cfRule>
  </conditionalFormatting>
  <conditionalFormatting sqref="C44:C45 E44:E45 G44:I45 C48 E48 G48:I48 C51 E51 G51:I51">
    <cfRule type="expression" dxfId="14" priority="279" stopIfTrue="1">
      <formula>OR($H$4 = "Central Air Conditioner",AND($H$5="Single-Speed", $H$6="Fixed Speed"))</formula>
    </cfRule>
  </conditionalFormatting>
  <conditionalFormatting sqref="C27 E27 G27:I27 C30 E30 G30:I30 C33 E33 G33:I33 C36 E36 G36:I36 C65:C67 C69">
    <cfRule type="expression" dxfId="13" priority="32" stopIfTrue="1">
      <formula>OR($H$4="Heating Only Central Heat Pump",$H$6="Variable Speed",$H$5&lt;&gt;"Single-Speed")</formula>
    </cfRule>
  </conditionalFormatting>
  <conditionalFormatting sqref="U89:AA113 C114 C126:C127 C129 C40:C42 E40:E42 G40:I42 B117:Q124">
    <cfRule type="expression" dxfId="12" priority="30" stopIfTrue="1">
      <formula>OR($H$4 = "Heating Only Central Heat Pump", $H$5 &lt;&gt; "Variable-Speed")</formula>
    </cfRule>
  </conditionalFormatting>
  <conditionalFormatting sqref="C34 C37 E34 E37 G34:I34 G37:I37">
    <cfRule type="expression" dxfId="11" priority="27" stopIfTrue="1">
      <formula>OR($H$4 = "Heating Only Central Heat Pump",$H$5 = "Variable-Speed",AND($H$5 = "Single-Speed",$H$6 = "Fixed Speed"))</formula>
    </cfRule>
  </conditionalFormatting>
  <conditionalFormatting sqref="C39 E39 G39:I39">
    <cfRule type="expression" dxfId="10" priority="26" stopIfTrue="1">
      <formula>OR($H$4 = "Heating Only Central Heat Pump",$H$5 = "Single-Speed")</formula>
    </cfRule>
  </conditionalFormatting>
  <conditionalFormatting sqref="C146 C169:C171 C173 C43 E43 G43:I43 C46 E46 G46:I46 C49 E49 G49:I49 C52 E52 G52:I52 B150:O167">
    <cfRule type="expression" dxfId="9" priority="23" stopIfTrue="1">
      <formula>OR($H$4="Central Air Conditioner", $H$5&lt;&gt;"Single-Speed",$H$6 = "Variable Speed")</formula>
    </cfRule>
  </conditionalFormatting>
  <conditionalFormatting sqref="C178 F178:F179 C201:C203 C205 B182:T199">
    <cfRule type="expression" dxfId="8" priority="22" stopIfTrue="1">
      <formula>OR($H$4 = "Central Air Conditioner", $H$5 &lt;&gt; "Single-Speed", $H$6 = "Fixed Speed")</formula>
    </cfRule>
  </conditionalFormatting>
  <conditionalFormatting sqref="C138:C141 G135:G140 C135:C136">
    <cfRule type="expression" dxfId="7" priority="21" stopIfTrue="1">
      <formula>$H$4 = "Central Air Conditioner"</formula>
    </cfRule>
  </conditionalFormatting>
  <conditionalFormatting sqref="F209:F210 H209 C232:C234 C236 C209 C54 E54 G54:I54 B213:R230">
    <cfRule type="expression" dxfId="6" priority="16" stopIfTrue="1">
      <formula>OR($H$4 = "Central Air Conditioner",$H$5 &lt;&gt; "Two-Speed")</formula>
    </cfRule>
  </conditionalFormatting>
  <conditionalFormatting sqref="C270 C266:C268 C242 C57:C58 E57:E58 G57:I58 C55 E55 G55:I55 Y176:AE200 P247:V264 B247:N264">
    <cfRule type="expression" dxfId="5" priority="13" stopIfTrue="1">
      <formula>OR($H$4 = "Central Air Conditioner", $H$5 &lt;&gt; "Variable-Speed")</formula>
    </cfRule>
  </conditionalFormatting>
  <conditionalFormatting sqref="C56 E56 G56:I56">
    <cfRule type="expression" dxfId="4" priority="12" stopIfTrue="1">
      <formula>OR($H$4 = "Central Air Conditioner", $H$5 = "Single-Speed")</formula>
    </cfRule>
  </conditionalFormatting>
  <conditionalFormatting sqref="C47 C50 C53 E53 E50 E47 G47:I47 G50:I50 G53:I53">
    <cfRule type="expression" dxfId="3" priority="14" stopIfTrue="1">
      <formula>OR($H$4 = "Central Air Conditioner",$H$5="Variable-Speed",AND($H$5 = "Single-Speed",$H$6 = "Fixed Speed"))</formula>
    </cfRule>
  </conditionalFormatting>
  <conditionalFormatting sqref="C94">
    <cfRule type="expression" dxfId="2" priority="3" stopIfTrue="1">
      <formula>OR($H$5&lt;&gt;"Two-Speed",$H$4="Heating Only Central Heat Pump")</formula>
    </cfRule>
  </conditionalFormatting>
  <conditionalFormatting sqref="C210">
    <cfRule type="expression" dxfId="1" priority="2" stopIfTrue="1">
      <formula>OR($H$4 = "Central Air Conditioner",$H$5 &lt;&gt; "Two-Speed")</formula>
    </cfRule>
  </conditionalFormatting>
  <conditionalFormatting sqref="O247:O264">
    <cfRule type="expression" dxfId="0" priority="1" stopIfTrue="1">
      <formula>OR($H$4 = "Central Air Conditioner", $H$5 &lt;&gt; "Variable-Speed")</formula>
    </cfRule>
  </conditionalFormatting>
  <dataValidations count="4">
    <dataValidation type="list" showInputMessage="1" showErrorMessage="1" sqref="C135" xr:uid="{00000000-0002-0000-1600-000000000000}">
      <formula1>Region</formula1>
    </dataValidation>
    <dataValidation type="list" showInputMessage="1" showErrorMessage="1" sqref="G135" xr:uid="{00000000-0002-0000-1600-000001000000}">
      <formula1>Min_Max</formula1>
    </dataValidation>
    <dataValidation type="list" showInputMessage="1" showErrorMessage="1" sqref="G136" xr:uid="{00000000-0002-0000-1600-000002000000}">
      <formula1>H1_Type</formula1>
    </dataValidation>
    <dataValidation type="list" allowBlank="1" showInputMessage="1" showErrorMessage="1" sqref="F209:F210" xr:uid="{00000000-0002-0000-1600-000003000000}">
      <formula1>"Yes, No"</formula1>
    </dataValidation>
  </dataValidations>
  <hyperlinks>
    <hyperlink ref="E3" location="Instructions!A1" display="Back to Instructions" xr:uid="{00000000-0004-0000-1600-000000000000}"/>
    <hyperlink ref="E3:F3" location="Instructions!A1" display="Back to Instructions tab" xr:uid="{00000000-0004-0000-1600-000001000000}"/>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0070C0"/>
  </sheetPr>
  <dimension ref="A1:H62"/>
  <sheetViews>
    <sheetView showGridLines="0" showZeros="0" zoomScale="80" zoomScaleNormal="80" workbookViewId="0">
      <selection activeCell="E3" sqref="E3:F3"/>
    </sheetView>
  </sheetViews>
  <sheetFormatPr defaultColWidth="9.140625" defaultRowHeight="16.5" x14ac:dyDescent="0.3"/>
  <cols>
    <col min="1" max="1" width="5.85546875" style="5" customWidth="1"/>
    <col min="2" max="2" width="31.28515625" style="5" customWidth="1"/>
    <col min="3" max="3" width="54" style="5" customWidth="1"/>
    <col min="4" max="4" width="11.5703125" style="5" customWidth="1"/>
    <col min="5" max="5" width="17.7109375" style="5" customWidth="1"/>
    <col min="6" max="6" width="69.42578125" style="5" customWidth="1"/>
    <col min="7" max="7" width="4.28515625" style="5" customWidth="1"/>
    <col min="8" max="8" width="2.28515625" style="16" customWidth="1"/>
    <col min="9" max="16384" width="9.140625" style="5"/>
  </cols>
  <sheetData>
    <row r="1" spans="2:8" ht="19.5" customHeight="1" thickBot="1" x14ac:dyDescent="0.35">
      <c r="H1" s="165"/>
    </row>
    <row r="2" spans="2:8" s="1" customFormat="1" ht="18" thickBot="1" x14ac:dyDescent="0.35">
      <c r="B2" s="805" t="s">
        <v>622</v>
      </c>
      <c r="C2" s="806"/>
      <c r="H2" s="17"/>
    </row>
    <row r="3" spans="2:8" s="120" customFormat="1" ht="18.75" customHeight="1" x14ac:dyDescent="0.3">
      <c r="B3" s="354" t="s">
        <v>623</v>
      </c>
      <c r="C3" s="355" t="str">
        <f>'Version Control'!C3</f>
        <v>Commercial Air Conditioner and Heat Pump</v>
      </c>
      <c r="E3" s="840" t="s">
        <v>553</v>
      </c>
      <c r="F3" s="840"/>
      <c r="H3" s="122"/>
    </row>
    <row r="4" spans="2:8" s="1" customFormat="1" x14ac:dyDescent="0.3">
      <c r="B4" s="356" t="s">
        <v>142</v>
      </c>
      <c r="C4" s="357" t="str">
        <f>'Version Control'!C4</f>
        <v>v2.2</v>
      </c>
      <c r="H4" s="17"/>
    </row>
    <row r="5" spans="2:8" s="1" customFormat="1" x14ac:dyDescent="0.3">
      <c r="B5" s="356" t="s">
        <v>475</v>
      </c>
      <c r="C5" s="358">
        <f>'Version Control'!C5</f>
        <v>43353</v>
      </c>
      <c r="H5" s="17"/>
    </row>
    <row r="6" spans="2:8" s="1" customFormat="1" x14ac:dyDescent="0.3">
      <c r="B6" s="359" t="s">
        <v>141</v>
      </c>
      <c r="C6" s="360" t="str">
        <f ca="1">MID(CELL("filename",$A$1), FIND("]", CELL("filename", $A$1))+ 1, 255)</f>
        <v>Test Comments</v>
      </c>
      <c r="H6" s="17"/>
    </row>
    <row r="7" spans="2:8" s="1" customFormat="1" ht="17.25" customHeight="1" x14ac:dyDescent="0.3">
      <c r="B7" s="361" t="s">
        <v>140</v>
      </c>
      <c r="C7" s="362" t="str">
        <f ca="1">'Version Control'!C7</f>
        <v>Commercial Air Conditioner and Heat Pump - v2.2.xlsx</v>
      </c>
      <c r="H7" s="17"/>
    </row>
    <row r="8" spans="2:8" ht="17.25" thickBot="1" x14ac:dyDescent="0.35">
      <c r="B8" s="363" t="s">
        <v>143</v>
      </c>
      <c r="C8" s="364" t="str">
        <f>'Version Control'!C8</f>
        <v>[MM/DD/YYYY]</v>
      </c>
      <c r="H8" s="17"/>
    </row>
    <row r="9" spans="2:8" x14ac:dyDescent="0.3">
      <c r="H9" s="17"/>
    </row>
    <row r="10" spans="2:8" ht="17.25" thickBot="1" x14ac:dyDescent="0.35">
      <c r="H10" s="17"/>
    </row>
    <row r="11" spans="2:8" ht="18" thickBot="1" x14ac:dyDescent="0.35">
      <c r="B11" s="1079" t="s">
        <v>555</v>
      </c>
      <c r="C11" s="1080"/>
      <c r="D11" s="1080"/>
      <c r="E11" s="1080"/>
      <c r="F11" s="1081"/>
      <c r="H11" s="17"/>
    </row>
    <row r="12" spans="2:8" x14ac:dyDescent="0.3">
      <c r="B12" s="847"/>
      <c r="C12" s="848"/>
      <c r="D12" s="848"/>
      <c r="E12" s="848"/>
      <c r="F12" s="849"/>
      <c r="H12" s="17"/>
    </row>
    <row r="13" spans="2:8" x14ac:dyDescent="0.3">
      <c r="B13" s="850"/>
      <c r="C13" s="851"/>
      <c r="D13" s="851"/>
      <c r="E13" s="851"/>
      <c r="F13" s="852"/>
      <c r="H13" s="17"/>
    </row>
    <row r="14" spans="2:8" x14ac:dyDescent="0.3">
      <c r="B14" s="850"/>
      <c r="C14" s="851"/>
      <c r="D14" s="851"/>
      <c r="E14" s="851"/>
      <c r="F14" s="852"/>
      <c r="H14" s="17"/>
    </row>
    <row r="15" spans="2:8" x14ac:dyDescent="0.3">
      <c r="B15" s="853"/>
      <c r="C15" s="854"/>
      <c r="D15" s="854"/>
      <c r="E15" s="854"/>
      <c r="F15" s="855"/>
      <c r="H15" s="17"/>
    </row>
    <row r="16" spans="2:8" x14ac:dyDescent="0.3">
      <c r="B16" s="2"/>
      <c r="C16" s="7"/>
      <c r="D16" s="7"/>
      <c r="E16" s="7"/>
      <c r="F16" s="3"/>
      <c r="H16" s="17"/>
    </row>
    <row r="17" spans="2:8" x14ac:dyDescent="0.3">
      <c r="B17" s="847"/>
      <c r="C17" s="848"/>
      <c r="D17" s="848"/>
      <c r="E17" s="848"/>
      <c r="F17" s="849"/>
      <c r="H17" s="17"/>
    </row>
    <row r="18" spans="2:8" x14ac:dyDescent="0.3">
      <c r="B18" s="850"/>
      <c r="C18" s="851"/>
      <c r="D18" s="851"/>
      <c r="E18" s="851"/>
      <c r="F18" s="852"/>
      <c r="H18" s="17"/>
    </row>
    <row r="19" spans="2:8" x14ac:dyDescent="0.3">
      <c r="B19" s="850"/>
      <c r="C19" s="851"/>
      <c r="D19" s="851"/>
      <c r="E19" s="851"/>
      <c r="F19" s="852"/>
      <c r="H19" s="17"/>
    </row>
    <row r="20" spans="2:8" x14ac:dyDescent="0.3">
      <c r="B20" s="853"/>
      <c r="C20" s="854"/>
      <c r="D20" s="854"/>
      <c r="E20" s="854"/>
      <c r="F20" s="855"/>
      <c r="H20" s="17"/>
    </row>
    <row r="21" spans="2:8" x14ac:dyDescent="0.3">
      <c r="B21" s="2"/>
      <c r="C21" s="7"/>
      <c r="D21" s="7"/>
      <c r="E21" s="7"/>
      <c r="F21" s="3"/>
      <c r="H21" s="17"/>
    </row>
    <row r="22" spans="2:8" x14ac:dyDescent="0.3">
      <c r="B22" s="847"/>
      <c r="C22" s="848"/>
      <c r="D22" s="848"/>
      <c r="E22" s="848"/>
      <c r="F22" s="849"/>
      <c r="H22" s="17"/>
    </row>
    <row r="23" spans="2:8" x14ac:dyDescent="0.3">
      <c r="B23" s="850"/>
      <c r="C23" s="851"/>
      <c r="D23" s="851"/>
      <c r="E23" s="851"/>
      <c r="F23" s="852"/>
      <c r="H23" s="17"/>
    </row>
    <row r="24" spans="2:8" x14ac:dyDescent="0.3">
      <c r="B24" s="850"/>
      <c r="C24" s="851"/>
      <c r="D24" s="851"/>
      <c r="E24" s="851"/>
      <c r="F24" s="852"/>
      <c r="H24" s="17"/>
    </row>
    <row r="25" spans="2:8" x14ac:dyDescent="0.3">
      <c r="B25" s="853"/>
      <c r="C25" s="854"/>
      <c r="D25" s="854"/>
      <c r="E25" s="854"/>
      <c r="F25" s="855"/>
      <c r="H25" s="17"/>
    </row>
    <row r="26" spans="2:8" x14ac:dyDescent="0.3">
      <c r="B26" s="2"/>
      <c r="C26" s="7"/>
      <c r="D26" s="7"/>
      <c r="E26" s="7"/>
      <c r="F26" s="3"/>
      <c r="H26" s="17"/>
    </row>
    <row r="27" spans="2:8" x14ac:dyDescent="0.3">
      <c r="B27" s="847"/>
      <c r="C27" s="848"/>
      <c r="D27" s="848"/>
      <c r="E27" s="848"/>
      <c r="F27" s="849"/>
      <c r="H27" s="17"/>
    </row>
    <row r="28" spans="2:8" x14ac:dyDescent="0.3">
      <c r="B28" s="850"/>
      <c r="C28" s="851"/>
      <c r="D28" s="851"/>
      <c r="E28" s="851"/>
      <c r="F28" s="852"/>
      <c r="H28" s="17"/>
    </row>
    <row r="29" spans="2:8" x14ac:dyDescent="0.3">
      <c r="B29" s="850"/>
      <c r="C29" s="851"/>
      <c r="D29" s="851"/>
      <c r="E29" s="851"/>
      <c r="F29" s="852"/>
      <c r="H29" s="17"/>
    </row>
    <row r="30" spans="2:8" x14ac:dyDescent="0.3">
      <c r="B30" s="853"/>
      <c r="C30" s="854"/>
      <c r="D30" s="854"/>
      <c r="E30" s="854"/>
      <c r="F30" s="855"/>
      <c r="H30" s="17"/>
    </row>
    <row r="31" spans="2:8" x14ac:dyDescent="0.3">
      <c r="B31" s="2"/>
      <c r="C31" s="7"/>
      <c r="D31" s="7"/>
      <c r="E31" s="7"/>
      <c r="F31" s="3"/>
      <c r="H31" s="17"/>
    </row>
    <row r="32" spans="2:8" x14ac:dyDescent="0.3">
      <c r="B32" s="847"/>
      <c r="C32" s="848"/>
      <c r="D32" s="848"/>
      <c r="E32" s="848"/>
      <c r="F32" s="849"/>
      <c r="H32" s="17"/>
    </row>
    <row r="33" spans="2:8" x14ac:dyDescent="0.3">
      <c r="B33" s="850"/>
      <c r="C33" s="851"/>
      <c r="D33" s="851"/>
      <c r="E33" s="851"/>
      <c r="F33" s="852"/>
      <c r="H33" s="17"/>
    </row>
    <row r="34" spans="2:8" x14ac:dyDescent="0.3">
      <c r="B34" s="850"/>
      <c r="C34" s="851"/>
      <c r="D34" s="851"/>
      <c r="E34" s="851"/>
      <c r="F34" s="852"/>
      <c r="H34" s="17"/>
    </row>
    <row r="35" spans="2:8" x14ac:dyDescent="0.3">
      <c r="B35" s="853"/>
      <c r="C35" s="854"/>
      <c r="D35" s="854"/>
      <c r="E35" s="854"/>
      <c r="F35" s="855"/>
      <c r="H35" s="17"/>
    </row>
    <row r="36" spans="2:8" x14ac:dyDescent="0.3">
      <c r="B36" s="2"/>
      <c r="C36" s="7"/>
      <c r="D36" s="7"/>
      <c r="E36" s="7"/>
      <c r="F36" s="3"/>
      <c r="H36" s="17"/>
    </row>
    <row r="37" spans="2:8" x14ac:dyDescent="0.3">
      <c r="B37" s="847"/>
      <c r="C37" s="848"/>
      <c r="D37" s="848"/>
      <c r="E37" s="848"/>
      <c r="F37" s="849"/>
      <c r="H37" s="17"/>
    </row>
    <row r="38" spans="2:8" x14ac:dyDescent="0.3">
      <c r="B38" s="850"/>
      <c r="C38" s="851"/>
      <c r="D38" s="851"/>
      <c r="E38" s="851"/>
      <c r="F38" s="852"/>
      <c r="H38" s="17"/>
    </row>
    <row r="39" spans="2:8" x14ac:dyDescent="0.3">
      <c r="B39" s="850"/>
      <c r="C39" s="851"/>
      <c r="D39" s="851"/>
      <c r="E39" s="851"/>
      <c r="F39" s="852"/>
      <c r="H39" s="17"/>
    </row>
    <row r="40" spans="2:8" x14ac:dyDescent="0.3">
      <c r="B40" s="853"/>
      <c r="C40" s="854"/>
      <c r="D40" s="854"/>
      <c r="E40" s="854"/>
      <c r="F40" s="855"/>
      <c r="H40" s="17"/>
    </row>
    <row r="41" spans="2:8" x14ac:dyDescent="0.3">
      <c r="B41" s="2"/>
      <c r="C41" s="7"/>
      <c r="D41" s="7"/>
      <c r="E41" s="7"/>
      <c r="F41" s="3"/>
      <c r="H41" s="17"/>
    </row>
    <row r="42" spans="2:8" x14ac:dyDescent="0.3">
      <c r="B42" s="847"/>
      <c r="C42" s="848"/>
      <c r="D42" s="848"/>
      <c r="E42" s="848"/>
      <c r="F42" s="849"/>
      <c r="H42" s="17"/>
    </row>
    <row r="43" spans="2:8" x14ac:dyDescent="0.3">
      <c r="B43" s="850"/>
      <c r="C43" s="851"/>
      <c r="D43" s="851"/>
      <c r="E43" s="851"/>
      <c r="F43" s="852"/>
      <c r="H43" s="17"/>
    </row>
    <row r="44" spans="2:8" x14ac:dyDescent="0.3">
      <c r="B44" s="850"/>
      <c r="C44" s="851"/>
      <c r="D44" s="851"/>
      <c r="E44" s="851"/>
      <c r="F44" s="852"/>
      <c r="H44" s="17"/>
    </row>
    <row r="45" spans="2:8" x14ac:dyDescent="0.3">
      <c r="B45" s="853"/>
      <c r="C45" s="854"/>
      <c r="D45" s="854"/>
      <c r="E45" s="854"/>
      <c r="F45" s="855"/>
      <c r="H45" s="17"/>
    </row>
    <row r="46" spans="2:8" x14ac:dyDescent="0.3">
      <c r="B46" s="2"/>
      <c r="C46" s="7"/>
      <c r="D46" s="7"/>
      <c r="E46" s="7"/>
      <c r="F46" s="3"/>
      <c r="H46" s="17"/>
    </row>
    <row r="47" spans="2:8" x14ac:dyDescent="0.3">
      <c r="B47" s="847"/>
      <c r="C47" s="848"/>
      <c r="D47" s="848"/>
      <c r="E47" s="848"/>
      <c r="F47" s="849"/>
      <c r="H47" s="17"/>
    </row>
    <row r="48" spans="2:8" x14ac:dyDescent="0.3">
      <c r="B48" s="850"/>
      <c r="C48" s="851"/>
      <c r="D48" s="851"/>
      <c r="E48" s="851"/>
      <c r="F48" s="852"/>
      <c r="H48" s="17"/>
    </row>
    <row r="49" spans="1:8" x14ac:dyDescent="0.3">
      <c r="B49" s="850"/>
      <c r="C49" s="851"/>
      <c r="D49" s="851"/>
      <c r="E49" s="851"/>
      <c r="F49" s="852"/>
      <c r="H49" s="17"/>
    </row>
    <row r="50" spans="1:8" x14ac:dyDescent="0.3">
      <c r="B50" s="853"/>
      <c r="C50" s="854"/>
      <c r="D50" s="854"/>
      <c r="E50" s="854"/>
      <c r="F50" s="855"/>
      <c r="H50" s="17"/>
    </row>
    <row r="51" spans="1:8" x14ac:dyDescent="0.3">
      <c r="B51" s="2"/>
      <c r="C51" s="7"/>
      <c r="D51" s="7"/>
      <c r="E51" s="7"/>
      <c r="F51" s="3"/>
      <c r="H51" s="17"/>
    </row>
    <row r="52" spans="1:8" x14ac:dyDescent="0.3">
      <c r="B52" s="847"/>
      <c r="C52" s="848"/>
      <c r="D52" s="848"/>
      <c r="E52" s="848"/>
      <c r="F52" s="849"/>
      <c r="H52" s="17"/>
    </row>
    <row r="53" spans="1:8" x14ac:dyDescent="0.3">
      <c r="B53" s="850"/>
      <c r="C53" s="851"/>
      <c r="D53" s="851"/>
      <c r="E53" s="851"/>
      <c r="F53" s="852"/>
      <c r="H53" s="17"/>
    </row>
    <row r="54" spans="1:8" x14ac:dyDescent="0.3">
      <c r="B54" s="850"/>
      <c r="C54" s="851"/>
      <c r="D54" s="851"/>
      <c r="E54" s="851"/>
      <c r="F54" s="852"/>
      <c r="H54" s="17"/>
    </row>
    <row r="55" spans="1:8" x14ac:dyDescent="0.3">
      <c r="B55" s="853"/>
      <c r="C55" s="854"/>
      <c r="D55" s="854"/>
      <c r="E55" s="854"/>
      <c r="F55" s="855"/>
      <c r="H55" s="17"/>
    </row>
    <row r="56" spans="1:8" x14ac:dyDescent="0.3">
      <c r="B56" s="2"/>
      <c r="C56" s="7"/>
      <c r="D56" s="7"/>
      <c r="E56" s="7"/>
      <c r="F56" s="3"/>
      <c r="H56" s="17"/>
    </row>
    <row r="57" spans="1:8" x14ac:dyDescent="0.3">
      <c r="B57" s="847"/>
      <c r="C57" s="848"/>
      <c r="D57" s="848"/>
      <c r="E57" s="848"/>
      <c r="F57" s="849"/>
      <c r="H57" s="17"/>
    </row>
    <row r="58" spans="1:8" x14ac:dyDescent="0.3">
      <c r="B58" s="850"/>
      <c r="C58" s="851"/>
      <c r="D58" s="851"/>
      <c r="E58" s="851"/>
      <c r="F58" s="852"/>
      <c r="H58" s="17"/>
    </row>
    <row r="59" spans="1:8" x14ac:dyDescent="0.3">
      <c r="B59" s="850"/>
      <c r="C59" s="851"/>
      <c r="D59" s="851"/>
      <c r="E59" s="851"/>
      <c r="F59" s="852"/>
      <c r="H59" s="17"/>
    </row>
    <row r="60" spans="1:8" ht="17.25" thickBot="1" x14ac:dyDescent="0.35">
      <c r="B60" s="856"/>
      <c r="C60" s="857"/>
      <c r="D60" s="857"/>
      <c r="E60" s="857"/>
      <c r="F60" s="858"/>
      <c r="H60" s="17"/>
    </row>
    <row r="61" spans="1:8" x14ac:dyDescent="0.3">
      <c r="H61" s="17"/>
    </row>
    <row r="62" spans="1:8" s="16" customFormat="1" x14ac:dyDescent="0.3">
      <c r="A62" s="17"/>
      <c r="B62" s="17"/>
      <c r="C62" s="17"/>
      <c r="D62" s="17"/>
      <c r="E62" s="17"/>
      <c r="F62" s="17"/>
      <c r="G62" s="17"/>
      <c r="H62" s="17"/>
    </row>
  </sheetData>
  <sheetProtection password="CA08" sheet="1" objects="1" scenarios="1" selectLockedCells="1"/>
  <customSheetViews>
    <customSheetView guid="{2A4C6EB9-430A-44F2-86C8-15B50360FC3B}" scale="60" showGridLines="0">
      <selection activeCell="F2" sqref="F2"/>
      <pageMargins left="0.7" right="0.7" top="0.75" bottom="0.75" header="0.3" footer="0.3"/>
    </customSheetView>
    <customSheetView guid="{B3BD5AF3-9A64-4EA7-AE1F-3CC326849B8F}" scale="60" showGridLines="0">
      <selection activeCell="F2" sqref="F2"/>
      <pageMargins left="0.7" right="0.7" top="0.75" bottom="0.75" header="0.3" footer="0.3"/>
    </customSheetView>
  </customSheetViews>
  <mergeCells count="13">
    <mergeCell ref="B2:C2"/>
    <mergeCell ref="E3:F3"/>
    <mergeCell ref="B11:F11"/>
    <mergeCell ref="B57:F60"/>
    <mergeCell ref="B12:F15"/>
    <mergeCell ref="B17:F20"/>
    <mergeCell ref="B22:F25"/>
    <mergeCell ref="B27:F30"/>
    <mergeCell ref="B32:F35"/>
    <mergeCell ref="B37:F40"/>
    <mergeCell ref="B42:F45"/>
    <mergeCell ref="B47:F50"/>
    <mergeCell ref="B52:F55"/>
  </mergeCells>
  <phoneticPr fontId="26" type="noConversion"/>
  <hyperlinks>
    <hyperlink ref="E3" location="Instructions!A1" display="Back to Instructions" xr:uid="{00000000-0004-0000-1700-000000000000}"/>
    <hyperlink ref="E3:F3" location="Instructions!A1" display="Back to Instructions tab" xr:uid="{00000000-0004-0000-1700-000001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
    <tabColor rgb="FF0070C0"/>
  </sheetPr>
  <dimension ref="A1:G20"/>
  <sheetViews>
    <sheetView showGridLines="0" showZeros="0" zoomScale="80" zoomScaleNormal="80" workbookViewId="0">
      <selection activeCell="E3" sqref="E3:F3"/>
    </sheetView>
  </sheetViews>
  <sheetFormatPr defaultColWidth="9.140625" defaultRowHeight="16.5" x14ac:dyDescent="0.3"/>
  <cols>
    <col min="1" max="1" width="4.28515625" style="1" customWidth="1"/>
    <col min="2" max="2" width="32.140625" style="1" customWidth="1"/>
    <col min="3" max="3" width="53.7109375" style="1" customWidth="1"/>
    <col min="4" max="4" width="21.28515625" style="1" bestFit="1" customWidth="1"/>
    <col min="5" max="5" width="43.5703125" style="1" customWidth="1"/>
    <col min="6" max="6" width="6.28515625" style="1" customWidth="1"/>
    <col min="7" max="7" width="2.85546875" style="1" customWidth="1"/>
    <col min="8" max="16384" width="9.140625" style="1"/>
  </cols>
  <sheetData>
    <row r="1" spans="1:7" ht="17.25" thickBot="1" x14ac:dyDescent="0.35">
      <c r="G1" s="165"/>
    </row>
    <row r="2" spans="1:7" ht="18" thickBot="1" x14ac:dyDescent="0.35">
      <c r="B2" s="805" t="s">
        <v>622</v>
      </c>
      <c r="C2" s="806"/>
      <c r="G2" s="125"/>
    </row>
    <row r="3" spans="1:7" ht="21" customHeight="1" x14ac:dyDescent="0.3">
      <c r="B3" s="354" t="s">
        <v>623</v>
      </c>
      <c r="C3" s="355" t="str">
        <f>'Version Control'!C3</f>
        <v>Commercial Air Conditioner and Heat Pump</v>
      </c>
      <c r="E3" s="840" t="s">
        <v>553</v>
      </c>
      <c r="F3" s="840"/>
      <c r="G3" s="125"/>
    </row>
    <row r="4" spans="1:7" x14ac:dyDescent="0.3">
      <c r="B4" s="356" t="s">
        <v>142</v>
      </c>
      <c r="C4" s="357" t="str">
        <f>'Version Control'!C4</f>
        <v>v2.2</v>
      </c>
      <c r="G4" s="125"/>
    </row>
    <row r="5" spans="1:7" x14ac:dyDescent="0.3">
      <c r="B5" s="356" t="s">
        <v>475</v>
      </c>
      <c r="C5" s="358">
        <f>'Version Control'!C5</f>
        <v>43353</v>
      </c>
      <c r="G5" s="125"/>
    </row>
    <row r="6" spans="1:7" x14ac:dyDescent="0.3">
      <c r="B6" s="359" t="s">
        <v>141</v>
      </c>
      <c r="C6" s="360" t="str">
        <f ca="1">MID(CELL("filename",$A$1), FIND("]", CELL("filename", $A$1))+ 1, 255)</f>
        <v>Report Sign-off Block</v>
      </c>
      <c r="G6" s="125"/>
    </row>
    <row r="7" spans="1:7" ht="17.25" customHeight="1" x14ac:dyDescent="0.3">
      <c r="B7" s="361" t="s">
        <v>140</v>
      </c>
      <c r="C7" s="362" t="str">
        <f ca="1">'Version Control'!C7</f>
        <v>Commercial Air Conditioner and Heat Pump - v2.2.xlsx</v>
      </c>
      <c r="G7" s="125"/>
    </row>
    <row r="8" spans="1:7" ht="17.25" customHeight="1" thickBot="1" x14ac:dyDescent="0.35">
      <c r="B8" s="363" t="s">
        <v>143</v>
      </c>
      <c r="C8" s="364" t="str">
        <f>'Version Control'!C8</f>
        <v>[MM/DD/YYYY]</v>
      </c>
      <c r="G8" s="125"/>
    </row>
    <row r="9" spans="1:7" ht="17.25" customHeight="1" x14ac:dyDescent="0.3">
      <c r="G9" s="125"/>
    </row>
    <row r="10" spans="1:7" ht="17.25" thickBot="1" x14ac:dyDescent="0.35">
      <c r="B10" s="4"/>
      <c r="G10" s="125"/>
    </row>
    <row r="11" spans="1:7" ht="18" thickBot="1" x14ac:dyDescent="0.35">
      <c r="A11" s="4"/>
      <c r="B11" s="802" t="s">
        <v>148</v>
      </c>
      <c r="C11" s="803"/>
      <c r="D11" s="803"/>
      <c r="E11" s="804"/>
      <c r="G11" s="125"/>
    </row>
    <row r="12" spans="1:7" ht="17.25" customHeight="1" x14ac:dyDescent="0.3">
      <c r="A12" s="4"/>
      <c r="B12" s="1086" t="s">
        <v>479</v>
      </c>
      <c r="C12" s="1087"/>
      <c r="D12" s="1087"/>
      <c r="E12" s="1088"/>
      <c r="G12" s="125"/>
    </row>
    <row r="13" spans="1:7" ht="38.25" customHeight="1" x14ac:dyDescent="0.3">
      <c r="A13" s="4"/>
      <c r="B13" s="1089"/>
      <c r="C13" s="1090"/>
      <c r="D13" s="1090"/>
      <c r="E13" s="1091"/>
      <c r="G13" s="125"/>
    </row>
    <row r="14" spans="1:7" ht="17.25" x14ac:dyDescent="0.35">
      <c r="A14" s="4"/>
      <c r="B14" s="1092" t="s">
        <v>149</v>
      </c>
      <c r="C14" s="1093"/>
      <c r="D14" s="59" t="s">
        <v>146</v>
      </c>
      <c r="E14" s="58" t="s">
        <v>150</v>
      </c>
      <c r="G14" s="125"/>
    </row>
    <row r="15" spans="1:7" x14ac:dyDescent="0.3">
      <c r="A15" s="4"/>
      <c r="B15" s="1082" t="s">
        <v>151</v>
      </c>
      <c r="C15" s="1083"/>
      <c r="D15" s="203" t="str">
        <f>'General Info and Test Results'!C18</f>
        <v>[MM/DD/YYYY]</v>
      </c>
      <c r="E15" s="115" t="s">
        <v>470</v>
      </c>
      <c r="G15" s="125"/>
    </row>
    <row r="16" spans="1:7" x14ac:dyDescent="0.3">
      <c r="A16" s="4"/>
      <c r="B16" s="1082" t="s">
        <v>436</v>
      </c>
      <c r="C16" s="1083"/>
      <c r="D16" s="768" t="s">
        <v>347</v>
      </c>
      <c r="E16" s="115" t="s">
        <v>470</v>
      </c>
      <c r="G16" s="125"/>
    </row>
    <row r="17" spans="1:7" x14ac:dyDescent="0.3">
      <c r="A17" s="4"/>
      <c r="B17" s="1082" t="s">
        <v>469</v>
      </c>
      <c r="C17" s="1083"/>
      <c r="D17" s="768" t="s">
        <v>347</v>
      </c>
      <c r="E17" s="115" t="s">
        <v>470</v>
      </c>
      <c r="G17" s="125"/>
    </row>
    <row r="18" spans="1:7" ht="17.25" thickBot="1" x14ac:dyDescent="0.35">
      <c r="A18" s="4"/>
      <c r="B18" s="1084" t="s">
        <v>478</v>
      </c>
      <c r="C18" s="1085"/>
      <c r="D18" s="769" t="s">
        <v>347</v>
      </c>
      <c r="E18" s="801" t="s">
        <v>470</v>
      </c>
      <c r="G18" s="125"/>
    </row>
    <row r="19" spans="1:7" x14ac:dyDescent="0.3">
      <c r="A19" s="4"/>
      <c r="B19" s="7"/>
      <c r="C19" s="4"/>
      <c r="D19" s="4"/>
      <c r="E19" s="4"/>
      <c r="G19" s="125"/>
    </row>
    <row r="20" spans="1:7" x14ac:dyDescent="0.3">
      <c r="A20" s="204"/>
      <c r="B20" s="143"/>
      <c r="C20" s="143"/>
      <c r="D20" s="143"/>
      <c r="E20" s="143"/>
      <c r="F20" s="125"/>
      <c r="G20" s="125"/>
    </row>
  </sheetData>
  <sheetProtection password="CA08" sheet="1" objects="1" scenarios="1" selectLockedCells="1"/>
  <customSheetViews>
    <customSheetView guid="{2A4C6EB9-430A-44F2-86C8-15B50360FC3B}" scale="80" showGridLines="0" zeroValues="0">
      <selection activeCell="C13" sqref="C13"/>
      <pageMargins left="0.7" right="0.7" top="0.75" bottom="0.75" header="0.3" footer="0.3"/>
      <pageSetup orientation="portrait" r:id="rId1"/>
    </customSheetView>
    <customSheetView guid="{B3BD5AF3-9A64-4EA7-AE1F-3CC326849B8F}" scale="80" showGridLines="0" zeroValues="0">
      <selection activeCell="C6" sqref="C6"/>
      <pageMargins left="0.7" right="0.7" top="0.75" bottom="0.75" header="0.3" footer="0.3"/>
      <pageSetup orientation="portrait" r:id="rId2"/>
    </customSheetView>
  </customSheetViews>
  <mergeCells count="9">
    <mergeCell ref="E3:F3"/>
    <mergeCell ref="B2:C2"/>
    <mergeCell ref="B17:C17"/>
    <mergeCell ref="B18:C18"/>
    <mergeCell ref="B11:E11"/>
    <mergeCell ref="B12:E13"/>
    <mergeCell ref="B14:C14"/>
    <mergeCell ref="B15:C15"/>
    <mergeCell ref="B16:C16"/>
  </mergeCells>
  <phoneticPr fontId="26" type="noConversion"/>
  <hyperlinks>
    <hyperlink ref="E3" location="Instructions!A1" display="Back to Instructions" xr:uid="{00000000-0004-0000-1800-000000000000}"/>
    <hyperlink ref="E3:F3" location="Instructions!A1" display="Back to Instructions tab" xr:uid="{00000000-0004-0000-1800-000001000000}"/>
  </hyperlinks>
  <pageMargins left="0.7" right="0.7" top="0.75" bottom="0.75" header="0.3" footer="0.3"/>
  <pageSetup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M35"/>
  <sheetViews>
    <sheetView showGridLines="0" zoomScale="80" zoomScaleNormal="80" workbookViewId="0">
      <selection activeCell="J2" sqref="J2:K2"/>
    </sheetView>
  </sheetViews>
  <sheetFormatPr defaultColWidth="21.42578125" defaultRowHeight="16.5" x14ac:dyDescent="0.25"/>
  <cols>
    <col min="1" max="8" width="21.42578125" style="251"/>
    <col min="9" max="9" width="9.85546875" style="250" customWidth="1"/>
    <col min="10" max="10" width="31.7109375" style="250" customWidth="1"/>
    <col min="11" max="11" width="53.28515625" style="250" customWidth="1"/>
    <col min="12" max="12" width="4.5703125" style="250" customWidth="1"/>
    <col min="13" max="13" width="5.5703125" style="250" customWidth="1"/>
    <col min="14" max="16384" width="21.42578125" style="250"/>
  </cols>
  <sheetData>
    <row r="1" spans="1:13" ht="18" thickBot="1" x14ac:dyDescent="0.3">
      <c r="A1" s="1098" t="s">
        <v>98</v>
      </c>
      <c r="B1" s="1099"/>
      <c r="C1" s="789" t="s">
        <v>99</v>
      </c>
      <c r="D1" s="782" t="s">
        <v>100</v>
      </c>
      <c r="E1" s="782" t="s">
        <v>101</v>
      </c>
      <c r="F1" s="782" t="s">
        <v>102</v>
      </c>
      <c r="G1" s="782" t="s">
        <v>103</v>
      </c>
      <c r="H1" s="783" t="s">
        <v>104</v>
      </c>
      <c r="M1" s="317"/>
    </row>
    <row r="2" spans="1:13" ht="34.5" customHeight="1" x14ac:dyDescent="0.25">
      <c r="A2" s="1100" t="s">
        <v>105</v>
      </c>
      <c r="B2" s="1101"/>
      <c r="C2" s="786">
        <v>750</v>
      </c>
      <c r="D2" s="779">
        <v>1250</v>
      </c>
      <c r="E2" s="779">
        <v>1750</v>
      </c>
      <c r="F2" s="779">
        <v>2250</v>
      </c>
      <c r="G2" s="779">
        <v>2750</v>
      </c>
      <c r="H2" s="780" t="s">
        <v>106</v>
      </c>
      <c r="J2" s="1097" t="s">
        <v>553</v>
      </c>
      <c r="K2" s="1097"/>
      <c r="M2" s="317"/>
    </row>
    <row r="3" spans="1:13" ht="36.75" customHeight="1" thickBot="1" x14ac:dyDescent="0.3">
      <c r="A3" s="1100" t="s">
        <v>641</v>
      </c>
      <c r="B3" s="1101"/>
      <c r="C3" s="787">
        <v>37</v>
      </c>
      <c r="D3" s="770">
        <v>27</v>
      </c>
      <c r="E3" s="770">
        <v>17</v>
      </c>
      <c r="F3" s="770">
        <v>5</v>
      </c>
      <c r="G3" s="770">
        <v>-10</v>
      </c>
      <c r="H3" s="771">
        <v>30</v>
      </c>
      <c r="M3" s="317"/>
    </row>
    <row r="4" spans="1:13" ht="18" customHeight="1" thickBot="1" x14ac:dyDescent="0.3">
      <c r="A4" s="1102" t="s">
        <v>109</v>
      </c>
      <c r="B4" s="1103"/>
      <c r="C4" s="788">
        <f t="shared" ref="C4:H4" si="0">COUNTIF(C6:C23,"&gt;0")</f>
        <v>9</v>
      </c>
      <c r="D4" s="776">
        <f t="shared" si="0"/>
        <v>10</v>
      </c>
      <c r="E4" s="776">
        <f t="shared" si="0"/>
        <v>13</v>
      </c>
      <c r="F4" s="776">
        <f t="shared" si="0"/>
        <v>15</v>
      </c>
      <c r="G4" s="776">
        <f t="shared" si="0"/>
        <v>18</v>
      </c>
      <c r="H4" s="777">
        <f t="shared" si="0"/>
        <v>9</v>
      </c>
      <c r="J4" s="805" t="s">
        <v>622</v>
      </c>
      <c r="K4" s="806"/>
      <c r="M4" s="317"/>
    </row>
    <row r="5" spans="1:13" ht="38.25" customHeight="1" thickBot="1" x14ac:dyDescent="0.35">
      <c r="A5" s="784" t="s">
        <v>108</v>
      </c>
      <c r="B5" s="785" t="s">
        <v>107</v>
      </c>
      <c r="C5" s="1094" t="s">
        <v>642</v>
      </c>
      <c r="D5" s="1095"/>
      <c r="E5" s="1095"/>
      <c r="F5" s="1095"/>
      <c r="G5" s="1095"/>
      <c r="H5" s="1096"/>
      <c r="J5" s="354" t="s">
        <v>623</v>
      </c>
      <c r="K5" s="355" t="str">
        <f>'Drop-Downs'!C3</f>
        <v>Commercial Air Conditioner and Heat Pump</v>
      </c>
      <c r="M5" s="317"/>
    </row>
    <row r="6" spans="1:13" x14ac:dyDescent="0.3">
      <c r="A6" s="778">
        <v>1</v>
      </c>
      <c r="B6" s="779">
        <v>62</v>
      </c>
      <c r="C6" s="779">
        <v>0.29099999999999998</v>
      </c>
      <c r="D6" s="779">
        <v>0.215</v>
      </c>
      <c r="E6" s="779">
        <v>0.153</v>
      </c>
      <c r="F6" s="779">
        <v>0.13200000000000001</v>
      </c>
      <c r="G6" s="779">
        <v>0.106</v>
      </c>
      <c r="H6" s="780">
        <v>0.113</v>
      </c>
      <c r="J6" s="356" t="s">
        <v>142</v>
      </c>
      <c r="K6" s="357" t="str">
        <f>'Drop-Downs'!C4</f>
        <v>v2.2</v>
      </c>
      <c r="M6" s="317"/>
    </row>
    <row r="7" spans="1:13" x14ac:dyDescent="0.3">
      <c r="A7" s="772">
        <v>2</v>
      </c>
      <c r="B7" s="770">
        <v>57</v>
      </c>
      <c r="C7" s="770">
        <v>0.23899999999999999</v>
      </c>
      <c r="D7" s="770">
        <v>0.189</v>
      </c>
      <c r="E7" s="770">
        <v>0.14199999999999999</v>
      </c>
      <c r="F7" s="770">
        <v>0.111</v>
      </c>
      <c r="G7" s="770">
        <v>9.1999999999999998E-2</v>
      </c>
      <c r="H7" s="771">
        <v>0.20599999999999999</v>
      </c>
      <c r="J7" s="356" t="s">
        <v>475</v>
      </c>
      <c r="K7" s="358">
        <f>'Drop-Downs'!C5</f>
        <v>43353</v>
      </c>
      <c r="M7" s="317"/>
    </row>
    <row r="8" spans="1:13" x14ac:dyDescent="0.3">
      <c r="A8" s="772">
        <v>3</v>
      </c>
      <c r="B8" s="770">
        <v>52</v>
      </c>
      <c r="C8" s="770">
        <v>0.19400000000000001</v>
      </c>
      <c r="D8" s="770">
        <v>0.16300000000000001</v>
      </c>
      <c r="E8" s="770">
        <v>0.13800000000000001</v>
      </c>
      <c r="F8" s="770">
        <v>0.10299999999999999</v>
      </c>
      <c r="G8" s="770">
        <v>8.5999999999999993E-2</v>
      </c>
      <c r="H8" s="771">
        <v>0.215</v>
      </c>
      <c r="J8" s="359" t="s">
        <v>141</v>
      </c>
      <c r="K8" s="360" t="str">
        <f ca="1">MID(CELL("filename",$A$1), FIND("]", CELL("filename", $A$1))+ 1, 255)</f>
        <v>Tables</v>
      </c>
      <c r="M8" s="317"/>
    </row>
    <row r="9" spans="1:13" ht="33" x14ac:dyDescent="0.25">
      <c r="A9" s="772">
        <v>4</v>
      </c>
      <c r="B9" s="770">
        <v>47</v>
      </c>
      <c r="C9" s="770">
        <v>0.129</v>
      </c>
      <c r="D9" s="770">
        <v>0.14299999999999999</v>
      </c>
      <c r="E9" s="770">
        <v>0.13700000000000001</v>
      </c>
      <c r="F9" s="770">
        <v>9.2999999999999999E-2</v>
      </c>
      <c r="G9" s="770">
        <v>7.5999999999999998E-2</v>
      </c>
      <c r="H9" s="771">
        <v>0.20399999999999999</v>
      </c>
      <c r="J9" s="361" t="s">
        <v>140</v>
      </c>
      <c r="K9" s="362" t="str">
        <f ca="1">'Drop-Downs'!C7</f>
        <v>Commercial Air Conditioner and Heat Pump - v2.2.xlsx</v>
      </c>
      <c r="M9" s="317"/>
    </row>
    <row r="10" spans="1:13" ht="17.25" thickBot="1" x14ac:dyDescent="0.35">
      <c r="A10" s="772">
        <v>5</v>
      </c>
      <c r="B10" s="770">
        <v>42</v>
      </c>
      <c r="C10" s="770">
        <v>8.1000000000000003E-2</v>
      </c>
      <c r="D10" s="770">
        <v>0.112</v>
      </c>
      <c r="E10" s="770">
        <v>0.13500000000000001</v>
      </c>
      <c r="F10" s="770">
        <v>0.1</v>
      </c>
      <c r="G10" s="770">
        <v>7.8E-2</v>
      </c>
      <c r="H10" s="771">
        <v>0.14099999999999999</v>
      </c>
      <c r="J10" s="363" t="s">
        <v>143</v>
      </c>
      <c r="K10" s="364" t="str">
        <f>'Drop-Downs'!C8</f>
        <v>[MM/DD/YYYY]</v>
      </c>
      <c r="M10" s="317"/>
    </row>
    <row r="11" spans="1:13" x14ac:dyDescent="0.25">
      <c r="A11" s="772">
        <v>6</v>
      </c>
      <c r="B11" s="770">
        <v>37</v>
      </c>
      <c r="C11" s="770">
        <v>4.1000000000000002E-2</v>
      </c>
      <c r="D11" s="770">
        <v>8.7999999999999995E-2</v>
      </c>
      <c r="E11" s="770">
        <v>0.11799999999999999</v>
      </c>
      <c r="F11" s="770">
        <v>0.109</v>
      </c>
      <c r="G11" s="770">
        <v>8.6999999999999994E-2</v>
      </c>
      <c r="H11" s="771">
        <v>7.5999999999999998E-2</v>
      </c>
      <c r="M11" s="317"/>
    </row>
    <row r="12" spans="1:13" x14ac:dyDescent="0.25">
      <c r="A12" s="772">
        <v>7</v>
      </c>
      <c r="B12" s="770">
        <v>32</v>
      </c>
      <c r="C12" s="770">
        <v>1.9E-2</v>
      </c>
      <c r="D12" s="770">
        <v>5.6000000000000001E-2</v>
      </c>
      <c r="E12" s="770">
        <v>9.1999999999999998E-2</v>
      </c>
      <c r="F12" s="770">
        <v>0.126</v>
      </c>
      <c r="G12" s="770">
        <v>0.10199999999999999</v>
      </c>
      <c r="H12" s="771">
        <v>3.4000000000000002E-2</v>
      </c>
      <c r="M12" s="317"/>
    </row>
    <row r="13" spans="1:13" x14ac:dyDescent="0.25">
      <c r="A13" s="772">
        <v>8</v>
      </c>
      <c r="B13" s="770">
        <v>27</v>
      </c>
      <c r="C13" s="770">
        <v>5.0000000000000001E-3</v>
      </c>
      <c r="D13" s="770">
        <v>2.4E-2</v>
      </c>
      <c r="E13" s="770">
        <v>4.7E-2</v>
      </c>
      <c r="F13" s="770">
        <v>8.6999999999999994E-2</v>
      </c>
      <c r="G13" s="770">
        <v>9.4E-2</v>
      </c>
      <c r="H13" s="771">
        <v>8.0000000000000002E-3</v>
      </c>
      <c r="M13" s="317"/>
    </row>
    <row r="14" spans="1:13" x14ac:dyDescent="0.25">
      <c r="A14" s="772">
        <v>9</v>
      </c>
      <c r="B14" s="770">
        <v>22</v>
      </c>
      <c r="C14" s="770">
        <v>1E-3</v>
      </c>
      <c r="D14" s="770">
        <v>8.0000000000000002E-3</v>
      </c>
      <c r="E14" s="770">
        <v>2.1000000000000001E-2</v>
      </c>
      <c r="F14" s="770">
        <v>5.5E-2</v>
      </c>
      <c r="G14" s="770">
        <v>7.3999999999999996E-2</v>
      </c>
      <c r="H14" s="771">
        <v>3.0000000000000001E-3</v>
      </c>
      <c r="M14" s="317"/>
    </row>
    <row r="15" spans="1:13" x14ac:dyDescent="0.25">
      <c r="A15" s="772">
        <v>10</v>
      </c>
      <c r="B15" s="770">
        <v>17</v>
      </c>
      <c r="C15" s="770">
        <v>0</v>
      </c>
      <c r="D15" s="770">
        <v>2E-3</v>
      </c>
      <c r="E15" s="770">
        <v>8.9999999999999993E-3</v>
      </c>
      <c r="F15" s="770">
        <v>3.5999999999999997E-2</v>
      </c>
      <c r="G15" s="770">
        <v>5.5E-2</v>
      </c>
      <c r="H15" s="771">
        <v>0</v>
      </c>
      <c r="M15" s="317"/>
    </row>
    <row r="16" spans="1:13" x14ac:dyDescent="0.25">
      <c r="A16" s="772">
        <v>11</v>
      </c>
      <c r="B16" s="770">
        <v>12</v>
      </c>
      <c r="C16" s="770">
        <v>0</v>
      </c>
      <c r="D16" s="770">
        <v>0</v>
      </c>
      <c r="E16" s="770">
        <v>5.0000000000000001E-3</v>
      </c>
      <c r="F16" s="770">
        <v>2.5999999999999999E-2</v>
      </c>
      <c r="G16" s="770">
        <v>4.7E-2</v>
      </c>
      <c r="H16" s="771">
        <v>0</v>
      </c>
      <c r="M16" s="317"/>
    </row>
    <row r="17" spans="1:13" x14ac:dyDescent="0.25">
      <c r="A17" s="772">
        <v>12</v>
      </c>
      <c r="B17" s="770">
        <v>7</v>
      </c>
      <c r="C17" s="770">
        <v>0</v>
      </c>
      <c r="D17" s="770">
        <v>0</v>
      </c>
      <c r="E17" s="770">
        <v>2E-3</v>
      </c>
      <c r="F17" s="770">
        <v>1.2999999999999999E-2</v>
      </c>
      <c r="G17" s="770">
        <v>3.7999999999999999E-2</v>
      </c>
      <c r="H17" s="771">
        <v>0</v>
      </c>
      <c r="M17" s="317"/>
    </row>
    <row r="18" spans="1:13" x14ac:dyDescent="0.25">
      <c r="A18" s="772">
        <v>13</v>
      </c>
      <c r="B18" s="770">
        <v>2</v>
      </c>
      <c r="C18" s="770">
        <v>0</v>
      </c>
      <c r="D18" s="770">
        <v>0</v>
      </c>
      <c r="E18" s="770">
        <v>1E-3</v>
      </c>
      <c r="F18" s="770">
        <v>6.0000000000000001E-3</v>
      </c>
      <c r="G18" s="770">
        <v>2.9000000000000001E-2</v>
      </c>
      <c r="H18" s="771">
        <v>0</v>
      </c>
      <c r="M18" s="317"/>
    </row>
    <row r="19" spans="1:13" x14ac:dyDescent="0.25">
      <c r="A19" s="772">
        <v>14</v>
      </c>
      <c r="B19" s="770">
        <v>-3</v>
      </c>
      <c r="C19" s="770">
        <v>0</v>
      </c>
      <c r="D19" s="770">
        <v>0</v>
      </c>
      <c r="E19" s="770">
        <v>0</v>
      </c>
      <c r="F19" s="770">
        <v>2E-3</v>
      </c>
      <c r="G19" s="770">
        <v>1.7999999999999999E-2</v>
      </c>
      <c r="H19" s="771">
        <v>0</v>
      </c>
      <c r="M19" s="317"/>
    </row>
    <row r="20" spans="1:13" x14ac:dyDescent="0.25">
      <c r="A20" s="772">
        <v>15</v>
      </c>
      <c r="B20" s="770">
        <v>-8</v>
      </c>
      <c r="C20" s="770">
        <v>0</v>
      </c>
      <c r="D20" s="770">
        <v>0</v>
      </c>
      <c r="E20" s="770">
        <v>0</v>
      </c>
      <c r="F20" s="770">
        <v>1E-3</v>
      </c>
      <c r="G20" s="770">
        <v>0.01</v>
      </c>
      <c r="H20" s="771">
        <v>0</v>
      </c>
      <c r="M20" s="317"/>
    </row>
    <row r="21" spans="1:13" x14ac:dyDescent="0.25">
      <c r="A21" s="772">
        <v>16</v>
      </c>
      <c r="B21" s="770">
        <v>-13</v>
      </c>
      <c r="C21" s="770">
        <v>0</v>
      </c>
      <c r="D21" s="770">
        <v>0</v>
      </c>
      <c r="E21" s="770">
        <v>0</v>
      </c>
      <c r="F21" s="770">
        <v>0</v>
      </c>
      <c r="G21" s="770">
        <v>5.0000000000000001E-3</v>
      </c>
      <c r="H21" s="771">
        <v>0</v>
      </c>
      <c r="M21" s="317"/>
    </row>
    <row r="22" spans="1:13" x14ac:dyDescent="0.25">
      <c r="A22" s="772">
        <v>17</v>
      </c>
      <c r="B22" s="770">
        <v>-18</v>
      </c>
      <c r="C22" s="770">
        <v>0</v>
      </c>
      <c r="D22" s="770">
        <v>0</v>
      </c>
      <c r="E22" s="770">
        <v>0</v>
      </c>
      <c r="F22" s="770">
        <v>0</v>
      </c>
      <c r="G22" s="770">
        <v>2E-3</v>
      </c>
      <c r="H22" s="771">
        <v>0</v>
      </c>
      <c r="M22" s="317"/>
    </row>
    <row r="23" spans="1:13" ht="17.25" thickBot="1" x14ac:dyDescent="0.3">
      <c r="A23" s="773">
        <v>18</v>
      </c>
      <c r="B23" s="774">
        <v>-23</v>
      </c>
      <c r="C23" s="774">
        <v>0</v>
      </c>
      <c r="D23" s="774">
        <v>0</v>
      </c>
      <c r="E23" s="774">
        <v>0</v>
      </c>
      <c r="F23" s="774">
        <v>0</v>
      </c>
      <c r="G23" s="774">
        <v>1E-3</v>
      </c>
      <c r="H23" s="775">
        <v>0</v>
      </c>
      <c r="M23" s="317"/>
    </row>
    <row r="24" spans="1:13" ht="17.25" thickBot="1" x14ac:dyDescent="0.3">
      <c r="M24" s="317"/>
    </row>
    <row r="25" spans="1:13" ht="54" thickBot="1" x14ac:dyDescent="0.3">
      <c r="A25" s="781" t="s">
        <v>206</v>
      </c>
      <c r="B25" s="782" t="s">
        <v>207</v>
      </c>
      <c r="C25" s="782" t="s">
        <v>208</v>
      </c>
      <c r="D25" s="783" t="s">
        <v>559</v>
      </c>
      <c r="M25" s="317"/>
    </row>
    <row r="26" spans="1:13" x14ac:dyDescent="0.25">
      <c r="A26" s="778">
        <v>1</v>
      </c>
      <c r="B26" s="779" t="s">
        <v>209</v>
      </c>
      <c r="C26" s="779">
        <v>67</v>
      </c>
      <c r="D26" s="780">
        <v>0.214</v>
      </c>
      <c r="M26" s="317"/>
    </row>
    <row r="27" spans="1:13" x14ac:dyDescent="0.25">
      <c r="A27" s="772">
        <v>2</v>
      </c>
      <c r="B27" s="770" t="s">
        <v>210</v>
      </c>
      <c r="C27" s="770">
        <v>72</v>
      </c>
      <c r="D27" s="771">
        <v>0.23100000000000001</v>
      </c>
      <c r="M27" s="317"/>
    </row>
    <row r="28" spans="1:13" x14ac:dyDescent="0.25">
      <c r="A28" s="772">
        <v>3</v>
      </c>
      <c r="B28" s="770" t="s">
        <v>211</v>
      </c>
      <c r="C28" s="770">
        <v>77</v>
      </c>
      <c r="D28" s="771">
        <v>0.216</v>
      </c>
      <c r="M28" s="317"/>
    </row>
    <row r="29" spans="1:13" x14ac:dyDescent="0.25">
      <c r="A29" s="772">
        <v>4</v>
      </c>
      <c r="B29" s="770" t="s">
        <v>212</v>
      </c>
      <c r="C29" s="770">
        <v>82</v>
      </c>
      <c r="D29" s="771">
        <v>0.161</v>
      </c>
      <c r="M29" s="317"/>
    </row>
    <row r="30" spans="1:13" x14ac:dyDescent="0.25">
      <c r="A30" s="772">
        <v>5</v>
      </c>
      <c r="B30" s="770" t="s">
        <v>213</v>
      </c>
      <c r="C30" s="770">
        <v>87</v>
      </c>
      <c r="D30" s="771">
        <v>0.104</v>
      </c>
      <c r="M30" s="317"/>
    </row>
    <row r="31" spans="1:13" x14ac:dyDescent="0.25">
      <c r="A31" s="772">
        <v>6</v>
      </c>
      <c r="B31" s="770" t="s">
        <v>214</v>
      </c>
      <c r="C31" s="770">
        <v>92</v>
      </c>
      <c r="D31" s="771">
        <v>5.1999999999999998E-2</v>
      </c>
      <c r="M31" s="317"/>
    </row>
    <row r="32" spans="1:13" x14ac:dyDescent="0.25">
      <c r="A32" s="772">
        <v>7</v>
      </c>
      <c r="B32" s="770" t="s">
        <v>215</v>
      </c>
      <c r="C32" s="770">
        <v>97</v>
      </c>
      <c r="D32" s="771">
        <v>1.7999999999999999E-2</v>
      </c>
      <c r="M32" s="317"/>
    </row>
    <row r="33" spans="1:13" ht="17.25" thickBot="1" x14ac:dyDescent="0.3">
      <c r="A33" s="773">
        <v>8</v>
      </c>
      <c r="B33" s="774" t="s">
        <v>216</v>
      </c>
      <c r="C33" s="774">
        <v>102</v>
      </c>
      <c r="D33" s="775">
        <v>4.0000000000000001E-3</v>
      </c>
      <c r="M33" s="317"/>
    </row>
    <row r="34" spans="1:13" x14ac:dyDescent="0.25">
      <c r="M34" s="317"/>
    </row>
    <row r="35" spans="1:13" x14ac:dyDescent="0.25">
      <c r="A35" s="316"/>
      <c r="B35" s="316"/>
      <c r="C35" s="316"/>
      <c r="D35" s="316"/>
      <c r="E35" s="316"/>
      <c r="F35" s="316"/>
      <c r="G35" s="316"/>
      <c r="H35" s="316"/>
      <c r="I35" s="317"/>
      <c r="J35" s="317"/>
      <c r="K35" s="317"/>
      <c r="L35" s="317"/>
      <c r="M35" s="317"/>
    </row>
  </sheetData>
  <sheetProtection password="CA08" sheet="1" objects="1" scenarios="1" selectLockedCells="1"/>
  <customSheetViews>
    <customSheetView guid="{2A4C6EB9-430A-44F2-86C8-15B50360FC3B}" scale="85" showGridLines="0">
      <selection activeCell="L32" sqref="L32:L48"/>
      <pageMargins left="0.7" right="0.7" top="0.75" bottom="0.75" header="0.3" footer="0.3"/>
      <pageSetup orientation="portrait" r:id="rId1"/>
    </customSheetView>
    <customSheetView guid="{B3BD5AF3-9A64-4EA7-AE1F-3CC326849B8F}" scale="85" showGridLines="0">
      <selection activeCell="L32" sqref="L32:L48"/>
      <pageMargins left="0.7" right="0.7" top="0.75" bottom="0.75" header="0.3" footer="0.3"/>
      <pageSetup orientation="portrait" r:id="rId2"/>
    </customSheetView>
  </customSheetViews>
  <mergeCells count="7">
    <mergeCell ref="C5:H5"/>
    <mergeCell ref="J2:K2"/>
    <mergeCell ref="J4:K4"/>
    <mergeCell ref="A1:B1"/>
    <mergeCell ref="A2:B2"/>
    <mergeCell ref="A3:B3"/>
    <mergeCell ref="A4:B4"/>
  </mergeCells>
  <phoneticPr fontId="26" type="noConversion"/>
  <hyperlinks>
    <hyperlink ref="J2" location="Instructions!A1" display="Back to Instructions" xr:uid="{00000000-0004-0000-1900-000000000000}"/>
    <hyperlink ref="J2:K2" location="Instructions!A1" display="Back to Instructions tab" xr:uid="{00000000-0004-0000-1900-000001000000}"/>
  </hyperlinks>
  <pageMargins left="0.7" right="0.7" top="0.75" bottom="0.75" header="0.3" footer="0.3"/>
  <pageSetup orientation="portrait"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O21"/>
  <sheetViews>
    <sheetView showGridLines="0" zoomScale="80" zoomScaleNormal="80" workbookViewId="0">
      <selection activeCell="E3" sqref="E3:F3"/>
    </sheetView>
  </sheetViews>
  <sheetFormatPr defaultColWidth="9.140625" defaultRowHeight="16.5" x14ac:dyDescent="0.3"/>
  <cols>
    <col min="1" max="1" width="9.140625" style="213"/>
    <col min="2" max="2" width="33.140625" style="214" customWidth="1"/>
    <col min="3" max="3" width="54" style="214" customWidth="1"/>
    <col min="4" max="4" width="35" style="213" customWidth="1"/>
    <col min="5" max="5" width="21.140625" style="213" customWidth="1"/>
    <col min="6" max="6" width="19.5703125" style="213" customWidth="1"/>
    <col min="7" max="7" width="20.85546875" style="213" customWidth="1"/>
    <col min="8" max="8" width="22.5703125" style="213" customWidth="1"/>
    <col min="9" max="9" width="9.140625" style="213"/>
    <col min="10" max="10" width="13.85546875" style="213" customWidth="1"/>
    <col min="11" max="11" width="9.140625" style="213"/>
    <col min="12" max="12" width="12.42578125" style="213" bestFit="1" customWidth="1"/>
    <col min="13" max="13" width="20.7109375" style="213" bestFit="1" customWidth="1"/>
    <col min="14" max="14" width="4" style="213" customWidth="1"/>
    <col min="15" max="15" width="4.140625" style="213" customWidth="1"/>
    <col min="16" max="16384" width="9.140625" style="213"/>
  </cols>
  <sheetData>
    <row r="1" spans="1:15" ht="17.25" thickBot="1" x14ac:dyDescent="0.35">
      <c r="A1" s="1"/>
      <c r="B1" s="121"/>
      <c r="C1" s="121"/>
      <c r="D1" s="1"/>
      <c r="E1" s="1"/>
      <c r="O1" s="318"/>
    </row>
    <row r="2" spans="1:15" ht="18" thickBot="1" x14ac:dyDescent="0.35">
      <c r="A2" s="1"/>
      <c r="B2" s="805" t="s">
        <v>622</v>
      </c>
      <c r="C2" s="806"/>
      <c r="D2" s="1"/>
      <c r="E2" s="1"/>
      <c r="O2" s="318"/>
    </row>
    <row r="3" spans="1:15" x14ac:dyDescent="0.3">
      <c r="A3" s="1"/>
      <c r="B3" s="354" t="s">
        <v>623</v>
      </c>
      <c r="C3" s="355" t="str">
        <f>'Version Control'!C3</f>
        <v>Commercial Air Conditioner and Heat Pump</v>
      </c>
      <c r="D3" s="1"/>
      <c r="E3" s="840" t="s">
        <v>553</v>
      </c>
      <c r="F3" s="840"/>
      <c r="O3" s="318"/>
    </row>
    <row r="4" spans="1:15" x14ac:dyDescent="0.3">
      <c r="A4" s="1"/>
      <c r="B4" s="356" t="s">
        <v>142</v>
      </c>
      <c r="C4" s="357" t="str">
        <f>'Version Control'!C4</f>
        <v>v2.2</v>
      </c>
      <c r="D4" s="1"/>
      <c r="E4" s="1"/>
      <c r="O4" s="318"/>
    </row>
    <row r="5" spans="1:15" x14ac:dyDescent="0.3">
      <c r="A5" s="1"/>
      <c r="B5" s="356" t="s">
        <v>475</v>
      </c>
      <c r="C5" s="358">
        <f>'Version Control'!C5</f>
        <v>43353</v>
      </c>
      <c r="D5" s="1"/>
      <c r="E5" s="1"/>
      <c r="O5" s="318"/>
    </row>
    <row r="6" spans="1:15" x14ac:dyDescent="0.3">
      <c r="A6" s="1"/>
      <c r="B6" s="359" t="s">
        <v>141</v>
      </c>
      <c r="C6" s="360" t="str">
        <f ca="1">MID(CELL("filename",$A$1), FIND("]", CELL("filename", $A$1))+ 1, 255)</f>
        <v>Drop-Downs</v>
      </c>
      <c r="D6" s="1"/>
      <c r="E6" s="1"/>
      <c r="O6" s="318"/>
    </row>
    <row r="7" spans="1:15" ht="33" x14ac:dyDescent="0.3">
      <c r="A7" s="1"/>
      <c r="B7" s="361" t="s">
        <v>140</v>
      </c>
      <c r="C7" s="362" t="str">
        <f ca="1">'Version Control'!C7</f>
        <v>Commercial Air Conditioner and Heat Pump - v2.2.xlsx</v>
      </c>
      <c r="D7" s="1"/>
      <c r="E7" s="1"/>
      <c r="O7" s="318"/>
    </row>
    <row r="8" spans="1:15" ht="17.25" thickBot="1" x14ac:dyDescent="0.35">
      <c r="B8" s="363" t="s">
        <v>143</v>
      </c>
      <c r="C8" s="364" t="str">
        <f>'Version Control'!C8</f>
        <v>[MM/DD/YYYY]</v>
      </c>
      <c r="O8" s="318"/>
    </row>
    <row r="9" spans="1:15" x14ac:dyDescent="0.3">
      <c r="O9" s="318"/>
    </row>
    <row r="10" spans="1:15" x14ac:dyDescent="0.3">
      <c r="O10" s="318"/>
    </row>
    <row r="11" spans="1:15" ht="17.25" thickBot="1" x14ac:dyDescent="0.35">
      <c r="B11" s="790" t="s">
        <v>500</v>
      </c>
      <c r="C11" s="790" t="s">
        <v>501</v>
      </c>
      <c r="D11" s="227" t="s">
        <v>160</v>
      </c>
      <c r="E11" s="227" t="s">
        <v>506</v>
      </c>
      <c r="F11" s="227" t="s">
        <v>507</v>
      </c>
      <c r="G11" s="227" t="s">
        <v>510</v>
      </c>
      <c r="H11" s="227" t="s">
        <v>514</v>
      </c>
      <c r="I11" s="227" t="s">
        <v>0</v>
      </c>
      <c r="J11" s="227" t="s">
        <v>518</v>
      </c>
      <c r="K11" s="227" t="s">
        <v>522</v>
      </c>
      <c r="L11" s="791" t="s">
        <v>609</v>
      </c>
      <c r="M11" s="791" t="s">
        <v>610</v>
      </c>
      <c r="O11" s="318"/>
    </row>
    <row r="12" spans="1:15" x14ac:dyDescent="0.3">
      <c r="B12" s="215">
        <v>0.5</v>
      </c>
      <c r="C12" s="216" t="s">
        <v>489</v>
      </c>
      <c r="D12" s="217" t="s">
        <v>505</v>
      </c>
      <c r="E12" s="217" t="s">
        <v>483</v>
      </c>
      <c r="F12" s="226" t="s">
        <v>508</v>
      </c>
      <c r="G12" s="218" t="s">
        <v>511</v>
      </c>
      <c r="H12" s="217" t="s">
        <v>516</v>
      </c>
      <c r="I12" s="217" t="s">
        <v>99</v>
      </c>
      <c r="J12" s="222" t="s">
        <v>517</v>
      </c>
      <c r="K12" s="217" t="s">
        <v>521</v>
      </c>
      <c r="L12" s="309">
        <v>1</v>
      </c>
      <c r="M12" s="309" t="s">
        <v>611</v>
      </c>
      <c r="O12" s="318"/>
    </row>
    <row r="13" spans="1:15" ht="17.25" thickBot="1" x14ac:dyDescent="0.35">
      <c r="B13" s="219">
        <v>1</v>
      </c>
      <c r="C13" s="220" t="s">
        <v>502</v>
      </c>
      <c r="D13" s="217" t="s">
        <v>503</v>
      </c>
      <c r="E13" s="217" t="s">
        <v>481</v>
      </c>
      <c r="F13" s="227" t="s">
        <v>509</v>
      </c>
      <c r="G13" s="218" t="s">
        <v>512</v>
      </c>
      <c r="H13" s="223" t="s">
        <v>515</v>
      </c>
      <c r="I13" s="218" t="s">
        <v>100</v>
      </c>
      <c r="J13" s="228" t="s">
        <v>493</v>
      </c>
      <c r="K13" s="218" t="s">
        <v>494</v>
      </c>
      <c r="L13" s="309">
        <v>2</v>
      </c>
      <c r="M13" s="309" t="s">
        <v>612</v>
      </c>
      <c r="O13" s="318"/>
    </row>
    <row r="14" spans="1:15" ht="17.25" thickBot="1" x14ac:dyDescent="0.35">
      <c r="D14" s="221" t="s">
        <v>504</v>
      </c>
      <c r="E14" s="221" t="s">
        <v>482</v>
      </c>
      <c r="G14" s="223" t="s">
        <v>513</v>
      </c>
      <c r="I14" s="218" t="s">
        <v>101</v>
      </c>
      <c r="K14" s="217" t="s">
        <v>519</v>
      </c>
      <c r="L14" s="309">
        <v>3</v>
      </c>
      <c r="M14" s="310" t="s">
        <v>648</v>
      </c>
      <c r="O14" s="318"/>
    </row>
    <row r="15" spans="1:15" ht="17.25" thickBot="1" x14ac:dyDescent="0.35">
      <c r="I15" s="218" t="s">
        <v>102</v>
      </c>
      <c r="K15" s="221" t="s">
        <v>520</v>
      </c>
      <c r="L15" s="309">
        <v>4</v>
      </c>
      <c r="M15" s="282"/>
      <c r="O15" s="318"/>
    </row>
    <row r="16" spans="1:15" x14ac:dyDescent="0.3">
      <c r="I16" s="218" t="s">
        <v>103</v>
      </c>
      <c r="L16" s="309">
        <v>5</v>
      </c>
      <c r="M16" s="282"/>
      <c r="O16" s="318"/>
    </row>
    <row r="17" spans="1:15" ht="17.25" thickBot="1" x14ac:dyDescent="0.35">
      <c r="I17" s="223" t="s">
        <v>104</v>
      </c>
      <c r="L17" s="309">
        <v>6</v>
      </c>
      <c r="M17" s="282"/>
      <c r="O17" s="318"/>
    </row>
    <row r="18" spans="1:15" x14ac:dyDescent="0.3">
      <c r="L18" s="309">
        <v>7</v>
      </c>
      <c r="M18" s="282"/>
      <c r="O18" s="318"/>
    </row>
    <row r="19" spans="1:15" ht="17.25" thickBot="1" x14ac:dyDescent="0.35">
      <c r="L19" s="310">
        <v>8</v>
      </c>
      <c r="M19" s="282"/>
      <c r="O19" s="318"/>
    </row>
    <row r="20" spans="1:15" x14ac:dyDescent="0.3">
      <c r="O20" s="318"/>
    </row>
    <row r="21" spans="1:15" x14ac:dyDescent="0.3">
      <c r="A21" s="318"/>
      <c r="B21" s="319"/>
      <c r="C21" s="319"/>
      <c r="D21" s="318"/>
      <c r="E21" s="318"/>
      <c r="F21" s="318"/>
      <c r="G21" s="318"/>
      <c r="H21" s="318"/>
      <c r="I21" s="318"/>
      <c r="J21" s="318"/>
      <c r="K21" s="318"/>
      <c r="L21" s="318"/>
      <c r="M21" s="318"/>
      <c r="N21" s="318"/>
      <c r="O21" s="318"/>
    </row>
  </sheetData>
  <sheetProtection password="CA08" sheet="1" objects="1" scenarios="1" selectLockedCells="1"/>
  <mergeCells count="2">
    <mergeCell ref="E3:F3"/>
    <mergeCell ref="B2:C2"/>
  </mergeCells>
  <hyperlinks>
    <hyperlink ref="E3" location="Instructions!A1" display="Back to Instructions" xr:uid="{00000000-0004-0000-1A00-000000000000}"/>
    <hyperlink ref="E3:F3" location="Instructions!A1" display="Back to Instructions tab" xr:uid="{00000000-0004-0000-1A00-000001000000}"/>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
  <dimension ref="A1:H35"/>
  <sheetViews>
    <sheetView showGridLines="0" zoomScale="80" zoomScaleNormal="80" workbookViewId="0">
      <selection activeCell="E3" sqref="E3:F3"/>
    </sheetView>
  </sheetViews>
  <sheetFormatPr defaultColWidth="9.140625" defaultRowHeight="16.5" x14ac:dyDescent="0.3"/>
  <cols>
    <col min="1" max="1" width="3.42578125" style="253" customWidth="1"/>
    <col min="2" max="2" width="29.85546875" style="260" bestFit="1" customWidth="1"/>
    <col min="3" max="3" width="74.42578125" style="252" customWidth="1"/>
    <col min="4" max="4" width="18.42578125" style="253" bestFit="1" customWidth="1"/>
    <col min="5" max="5" width="5.5703125" style="253" bestFit="1" customWidth="1"/>
    <col min="6" max="6" width="22.28515625" style="253" customWidth="1"/>
    <col min="7" max="7" width="9.85546875" style="253" customWidth="1"/>
    <col min="8" max="8" width="3.7109375" style="253" customWidth="1"/>
    <col min="9" max="16384" width="9.140625" style="253"/>
  </cols>
  <sheetData>
    <row r="1" spans="2:8" ht="17.25" thickBot="1" x14ac:dyDescent="0.35">
      <c r="B1" s="252"/>
      <c r="C1" s="253"/>
      <c r="H1" s="321"/>
    </row>
    <row r="2" spans="2:8" ht="18" thickBot="1" x14ac:dyDescent="0.35">
      <c r="B2" s="805" t="s">
        <v>622</v>
      </c>
      <c r="C2" s="806"/>
      <c r="H2" s="321"/>
    </row>
    <row r="3" spans="2:8" s="255" customFormat="1" ht="18" customHeight="1" x14ac:dyDescent="0.3">
      <c r="B3" s="354" t="s">
        <v>623</v>
      </c>
      <c r="C3" s="355" t="s">
        <v>643</v>
      </c>
      <c r="D3" s="254"/>
      <c r="E3" s="1104" t="s">
        <v>553</v>
      </c>
      <c r="F3" s="1104"/>
      <c r="H3" s="322"/>
    </row>
    <row r="4" spans="2:8" x14ac:dyDescent="0.3">
      <c r="B4" s="356" t="s">
        <v>142</v>
      </c>
      <c r="C4" s="357" t="str">
        <f>INDEX(B13:B56,COUNTA(B13:B56),1)</f>
        <v>v2.2</v>
      </c>
      <c r="D4" s="256"/>
      <c r="E4" s="256"/>
      <c r="F4" s="256"/>
      <c r="G4" s="256"/>
      <c r="H4" s="321"/>
    </row>
    <row r="5" spans="2:8" x14ac:dyDescent="0.3">
      <c r="B5" s="356" t="s">
        <v>475</v>
      </c>
      <c r="C5" s="358">
        <f>IF(MAX(B13:C98)=0,"No Revisions Dates Entered",MAX(C13:C98))</f>
        <v>43353</v>
      </c>
      <c r="D5" s="256"/>
      <c r="E5" s="256"/>
      <c r="F5" s="256"/>
      <c r="G5" s="256"/>
      <c r="H5" s="321"/>
    </row>
    <row r="6" spans="2:8" x14ac:dyDescent="0.3">
      <c r="B6" s="359" t="s">
        <v>141</v>
      </c>
      <c r="C6" s="360" t="str">
        <f ca="1">MID(CELL("filename",$A$1), FIND("]", CELL("filename", $A$1))+ 1, 255)</f>
        <v>Version Control</v>
      </c>
      <c r="D6" s="256"/>
      <c r="E6" s="256"/>
      <c r="F6" s="256"/>
      <c r="G6" s="256"/>
      <c r="H6" s="321"/>
    </row>
    <row r="7" spans="2:8" x14ac:dyDescent="0.3">
      <c r="B7" s="361" t="s">
        <v>140</v>
      </c>
      <c r="C7" s="362" t="str">
        <f ca="1">MID(CELL("FILENAME",F16),FIND("[",CELL("FILENAME",F16))+1,FIND("]",CELL("FILENAME",F16))-FIND("[",CELL("FILENAME",F16))-1)</f>
        <v>Commercial Air Conditioner and Heat Pump - v2.2.xlsx</v>
      </c>
      <c r="D7" s="256"/>
      <c r="E7" s="256"/>
      <c r="F7" s="256"/>
      <c r="G7" s="256"/>
      <c r="H7" s="321"/>
    </row>
    <row r="8" spans="2:8" ht="17.25" thickBot="1" x14ac:dyDescent="0.35">
      <c r="B8" s="363" t="s">
        <v>143</v>
      </c>
      <c r="C8" s="364" t="str">
        <f>'General Info and Test Results'!C18</f>
        <v>[MM/DD/YYYY]</v>
      </c>
      <c r="D8" s="256"/>
      <c r="E8" s="256"/>
      <c r="F8" s="256"/>
      <c r="G8" s="256"/>
      <c r="H8" s="321"/>
    </row>
    <row r="9" spans="2:8" x14ac:dyDescent="0.3">
      <c r="B9" s="256"/>
      <c r="C9" s="256"/>
      <c r="D9" s="256"/>
      <c r="E9" s="256"/>
      <c r="F9" s="256"/>
      <c r="G9" s="256"/>
      <c r="H9" s="321"/>
    </row>
    <row r="10" spans="2:8" ht="17.25" thickBot="1" x14ac:dyDescent="0.35">
      <c r="B10" s="256"/>
      <c r="C10" s="256"/>
      <c r="D10" s="256"/>
      <c r="E10" s="256"/>
      <c r="F10" s="256"/>
      <c r="G10" s="256"/>
      <c r="H10" s="321"/>
    </row>
    <row r="11" spans="2:8" ht="18" thickBot="1" x14ac:dyDescent="0.35">
      <c r="B11" s="805" t="s">
        <v>144</v>
      </c>
      <c r="C11" s="806"/>
      <c r="D11" s="256"/>
      <c r="E11" s="256"/>
      <c r="F11" s="256"/>
      <c r="G11" s="256"/>
      <c r="H11" s="321"/>
    </row>
    <row r="12" spans="2:8" ht="17.25" x14ac:dyDescent="0.3">
      <c r="B12" s="325" t="s">
        <v>145</v>
      </c>
      <c r="C12" s="326" t="s">
        <v>146</v>
      </c>
      <c r="D12" s="256"/>
      <c r="E12" s="256"/>
      <c r="F12" s="256"/>
      <c r="G12" s="256"/>
      <c r="H12" s="321"/>
    </row>
    <row r="13" spans="2:8" x14ac:dyDescent="0.3">
      <c r="B13" s="262">
        <v>1</v>
      </c>
      <c r="C13" s="263">
        <v>41142</v>
      </c>
      <c r="D13" s="256"/>
      <c r="E13" s="256"/>
      <c r="F13" s="256"/>
      <c r="G13" s="256"/>
      <c r="H13" s="321"/>
    </row>
    <row r="14" spans="2:8" x14ac:dyDescent="0.3">
      <c r="B14" s="314">
        <v>1.1000000000000001</v>
      </c>
      <c r="C14" s="265">
        <v>41249</v>
      </c>
      <c r="D14" s="258"/>
      <c r="E14" s="256"/>
      <c r="F14" s="256"/>
      <c r="G14" s="256"/>
      <c r="H14" s="321"/>
    </row>
    <row r="15" spans="2:8" x14ac:dyDescent="0.3">
      <c r="B15" s="315" t="s">
        <v>621</v>
      </c>
      <c r="C15" s="265">
        <v>41438</v>
      </c>
      <c r="H15" s="321"/>
    </row>
    <row r="16" spans="2:8" x14ac:dyDescent="0.3">
      <c r="B16" s="264" t="s">
        <v>624</v>
      </c>
      <c r="C16" s="265">
        <v>41488</v>
      </c>
      <c r="H16" s="321"/>
    </row>
    <row r="17" spans="2:8" x14ac:dyDescent="0.3">
      <c r="B17" s="266">
        <v>1.2</v>
      </c>
      <c r="C17" s="265">
        <v>41841</v>
      </c>
      <c r="H17" s="321"/>
    </row>
    <row r="18" spans="2:8" x14ac:dyDescent="0.3">
      <c r="B18" s="266">
        <v>1.3</v>
      </c>
      <c r="C18" s="265">
        <v>41920</v>
      </c>
      <c r="H18" s="321"/>
    </row>
    <row r="19" spans="2:8" x14ac:dyDescent="0.3">
      <c r="B19" s="97" t="s">
        <v>644</v>
      </c>
      <c r="C19" s="257">
        <v>42160</v>
      </c>
      <c r="H19" s="321"/>
    </row>
    <row r="20" spans="2:8" x14ac:dyDescent="0.3">
      <c r="B20" s="96" t="s">
        <v>646</v>
      </c>
      <c r="C20" s="257">
        <v>42922</v>
      </c>
      <c r="H20" s="321"/>
    </row>
    <row r="21" spans="2:8" x14ac:dyDescent="0.3">
      <c r="B21" s="97" t="s">
        <v>647</v>
      </c>
      <c r="C21" s="257">
        <v>43353</v>
      </c>
      <c r="H21" s="321"/>
    </row>
    <row r="22" spans="2:8" x14ac:dyDescent="0.3">
      <c r="B22" s="97"/>
      <c r="C22" s="257"/>
      <c r="H22" s="321"/>
    </row>
    <row r="23" spans="2:8" x14ac:dyDescent="0.3">
      <c r="B23" s="96"/>
      <c r="C23" s="257"/>
      <c r="H23" s="321"/>
    </row>
    <row r="24" spans="2:8" x14ac:dyDescent="0.3">
      <c r="B24" s="96"/>
      <c r="C24" s="257"/>
      <c r="H24" s="321"/>
    </row>
    <row r="25" spans="2:8" x14ac:dyDescent="0.3">
      <c r="B25" s="96"/>
      <c r="C25" s="257"/>
      <c r="H25" s="321"/>
    </row>
    <row r="26" spans="2:8" x14ac:dyDescent="0.3">
      <c r="B26" s="96"/>
      <c r="C26" s="257"/>
      <c r="H26" s="321"/>
    </row>
    <row r="27" spans="2:8" x14ac:dyDescent="0.3">
      <c r="B27" s="96"/>
      <c r="C27" s="257"/>
      <c r="H27" s="321"/>
    </row>
    <row r="28" spans="2:8" x14ac:dyDescent="0.3">
      <c r="B28" s="96"/>
      <c r="C28" s="257"/>
      <c r="H28" s="321"/>
    </row>
    <row r="29" spans="2:8" x14ac:dyDescent="0.3">
      <c r="B29" s="96"/>
      <c r="C29" s="257"/>
      <c r="H29" s="321"/>
    </row>
    <row r="30" spans="2:8" x14ac:dyDescent="0.3">
      <c r="B30" s="96"/>
      <c r="C30" s="257"/>
      <c r="H30" s="321"/>
    </row>
    <row r="31" spans="2:8" x14ac:dyDescent="0.3">
      <c r="B31" s="96"/>
      <c r="C31" s="257"/>
      <c r="H31" s="321"/>
    </row>
    <row r="32" spans="2:8" x14ac:dyDescent="0.3">
      <c r="B32" s="96"/>
      <c r="C32" s="257"/>
      <c r="H32" s="321"/>
    </row>
    <row r="33" spans="1:8" x14ac:dyDescent="0.3">
      <c r="B33" s="99"/>
      <c r="C33" s="259"/>
      <c r="H33" s="321"/>
    </row>
    <row r="34" spans="1:8" x14ac:dyDescent="0.3">
      <c r="H34" s="321"/>
    </row>
    <row r="35" spans="1:8" x14ac:dyDescent="0.3">
      <c r="A35" s="321"/>
      <c r="B35" s="323"/>
      <c r="C35" s="324"/>
      <c r="D35" s="321"/>
      <c r="E35" s="321"/>
      <c r="F35" s="321"/>
      <c r="G35" s="321"/>
      <c r="H35" s="321"/>
    </row>
  </sheetData>
  <sheetProtection password="CA08" sheet="1" objects="1" scenarios="1" selectLockedCells="1"/>
  <customSheetViews>
    <customSheetView guid="{2A4C6EB9-430A-44F2-86C8-15B50360FC3B}" scale="80" showGridLines="0">
      <selection activeCell="L32" sqref="L32:L48"/>
      <pageMargins left="0.7" right="0.7" top="0.75" bottom="0.75" header="0.3" footer="0.3"/>
      <pageSetup orientation="portrait" r:id="rId1"/>
    </customSheetView>
    <customSheetView guid="{B3BD5AF3-9A64-4EA7-AE1F-3CC326849B8F}" scale="80" showGridLines="0">
      <selection activeCell="L32" sqref="L32:L48"/>
      <pageMargins left="0.7" right="0.7" top="0.75" bottom="0.75" header="0.3" footer="0.3"/>
      <pageSetup orientation="portrait" r:id="rId2"/>
    </customSheetView>
  </customSheetViews>
  <mergeCells count="3">
    <mergeCell ref="B2:C2"/>
    <mergeCell ref="B11:C11"/>
    <mergeCell ref="E3:F3"/>
  </mergeCells>
  <phoneticPr fontId="26" type="noConversion"/>
  <hyperlinks>
    <hyperlink ref="E3" location="Instructions!A1" display="Back to Instructions" xr:uid="{00000000-0004-0000-1B00-000000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70C0"/>
  </sheetPr>
  <dimension ref="A1:J67"/>
  <sheetViews>
    <sheetView showGridLines="0" zoomScale="80" zoomScaleNormal="80" workbookViewId="0">
      <selection activeCell="E3" sqref="E3"/>
    </sheetView>
  </sheetViews>
  <sheetFormatPr defaultColWidth="10.42578125" defaultRowHeight="16.5" x14ac:dyDescent="0.25"/>
  <cols>
    <col min="1" max="1" width="4.7109375" style="234" customWidth="1"/>
    <col min="2" max="2" width="30.28515625" style="234" customWidth="1"/>
    <col min="3" max="3" width="47.140625" style="234" customWidth="1"/>
    <col min="4" max="4" width="19.42578125" style="234" customWidth="1"/>
    <col min="5" max="5" width="57" style="234" customWidth="1"/>
    <col min="6" max="6" width="14.7109375" style="234" customWidth="1"/>
    <col min="7" max="7" width="25.42578125" style="234" bestFit="1" customWidth="1"/>
    <col min="8" max="8" width="31.7109375" style="234" bestFit="1" customWidth="1"/>
    <col min="9" max="9" width="1.85546875" style="234" customWidth="1"/>
    <col min="10" max="10" width="2.5703125" style="238" customWidth="1"/>
    <col min="11" max="16384" width="10.42578125" style="234"/>
  </cols>
  <sheetData>
    <row r="1" spans="2:10" ht="17.25" thickBot="1" x14ac:dyDescent="0.3">
      <c r="J1" s="165"/>
    </row>
    <row r="2" spans="2:10" ht="18" thickBot="1" x14ac:dyDescent="0.3">
      <c r="B2" s="805" t="s">
        <v>622</v>
      </c>
      <c r="C2" s="806"/>
      <c r="J2" s="235"/>
    </row>
    <row r="3" spans="2:10" s="236" customFormat="1" ht="38.25" customHeight="1" x14ac:dyDescent="0.3">
      <c r="B3" s="365" t="s">
        <v>623</v>
      </c>
      <c r="C3" s="366" t="str">
        <f>'Version Control'!C3</f>
        <v>Commercial Air Conditioner and Heat Pump</v>
      </c>
      <c r="E3" s="798" t="s">
        <v>553</v>
      </c>
      <c r="F3"/>
      <c r="J3" s="237"/>
    </row>
    <row r="4" spans="2:10" x14ac:dyDescent="0.25">
      <c r="B4" s="367" t="s">
        <v>142</v>
      </c>
      <c r="C4" s="368" t="str">
        <f>'Version Control'!C4</f>
        <v>v2.2</v>
      </c>
      <c r="J4" s="235"/>
    </row>
    <row r="5" spans="2:10" x14ac:dyDescent="0.25">
      <c r="B5" s="367" t="s">
        <v>475</v>
      </c>
      <c r="C5" s="369">
        <f>'Version Control'!C5</f>
        <v>43353</v>
      </c>
      <c r="J5" s="235"/>
    </row>
    <row r="6" spans="2:10" x14ac:dyDescent="0.25">
      <c r="B6" s="370" t="s">
        <v>141</v>
      </c>
      <c r="C6" s="371" t="str">
        <f ca="1">MID(CELL("filename",$A$1), FIND("]", CELL("filename", $A$1))+ 1, 255)</f>
        <v>Instrumentation</v>
      </c>
      <c r="J6" s="235"/>
    </row>
    <row r="7" spans="2:10" ht="35.25" customHeight="1" x14ac:dyDescent="0.25">
      <c r="B7" s="361" t="s">
        <v>140</v>
      </c>
      <c r="C7" s="362" t="str">
        <f ca="1">'Version Control'!C7</f>
        <v>Commercial Air Conditioner and Heat Pump - v2.2.xlsx</v>
      </c>
      <c r="J7" s="235"/>
    </row>
    <row r="8" spans="2:10" ht="17.25" thickBot="1" x14ac:dyDescent="0.3">
      <c r="B8" s="372" t="s">
        <v>143</v>
      </c>
      <c r="C8" s="373" t="str">
        <f>'Version Control'!C8</f>
        <v>[MM/DD/YYYY]</v>
      </c>
      <c r="J8" s="235"/>
    </row>
    <row r="9" spans="2:10" x14ac:dyDescent="0.25">
      <c r="J9" s="235"/>
    </row>
    <row r="10" spans="2:10" ht="17.25" thickBot="1" x14ac:dyDescent="0.3">
      <c r="J10" s="235"/>
    </row>
    <row r="11" spans="2:10" ht="18" thickBot="1" x14ac:dyDescent="0.3">
      <c r="B11" s="802" t="s">
        <v>471</v>
      </c>
      <c r="C11" s="803"/>
      <c r="D11" s="803"/>
      <c r="E11" s="803"/>
      <c r="F11" s="803"/>
      <c r="G11" s="803"/>
      <c r="H11" s="804"/>
      <c r="J11" s="235"/>
    </row>
    <row r="12" spans="2:10" ht="17.25" x14ac:dyDescent="0.25">
      <c r="B12" s="764" t="s">
        <v>358</v>
      </c>
      <c r="C12" s="765" t="s">
        <v>359</v>
      </c>
      <c r="D12" s="765" t="s">
        <v>360</v>
      </c>
      <c r="E12" s="765" t="s">
        <v>361</v>
      </c>
      <c r="F12" s="766" t="s">
        <v>157</v>
      </c>
      <c r="G12" s="765" t="s">
        <v>158</v>
      </c>
      <c r="H12" s="767" t="s">
        <v>159</v>
      </c>
      <c r="I12" s="42"/>
      <c r="J12" s="235"/>
    </row>
    <row r="13" spans="2:10" x14ac:dyDescent="0.25">
      <c r="B13" s="755"/>
      <c r="C13" s="756"/>
      <c r="D13" s="756"/>
      <c r="E13" s="756"/>
      <c r="F13" s="756"/>
      <c r="G13" s="757"/>
      <c r="H13" s="758"/>
      <c r="J13" s="235"/>
    </row>
    <row r="14" spans="2:10" x14ac:dyDescent="0.25">
      <c r="B14" s="755"/>
      <c r="C14" s="756"/>
      <c r="D14" s="756"/>
      <c r="E14" s="756"/>
      <c r="F14" s="756"/>
      <c r="G14" s="757"/>
      <c r="H14" s="758"/>
      <c r="J14" s="235"/>
    </row>
    <row r="15" spans="2:10" x14ac:dyDescent="0.25">
      <c r="B15" s="755"/>
      <c r="C15" s="756"/>
      <c r="D15" s="756"/>
      <c r="E15" s="756"/>
      <c r="F15" s="756"/>
      <c r="G15" s="757"/>
      <c r="H15" s="758"/>
      <c r="J15" s="235"/>
    </row>
    <row r="16" spans="2:10" x14ac:dyDescent="0.25">
      <c r="B16" s="755"/>
      <c r="C16" s="756"/>
      <c r="D16" s="756"/>
      <c r="E16" s="756"/>
      <c r="F16" s="756"/>
      <c r="G16" s="757"/>
      <c r="H16" s="758"/>
      <c r="J16" s="235"/>
    </row>
    <row r="17" spans="2:10" x14ac:dyDescent="0.25">
      <c r="B17" s="755"/>
      <c r="C17" s="756"/>
      <c r="D17" s="756"/>
      <c r="E17" s="756"/>
      <c r="F17" s="756"/>
      <c r="G17" s="757"/>
      <c r="H17" s="758"/>
      <c r="J17" s="235"/>
    </row>
    <row r="18" spans="2:10" x14ac:dyDescent="0.25">
      <c r="B18" s="755"/>
      <c r="C18" s="756"/>
      <c r="D18" s="756"/>
      <c r="E18" s="756"/>
      <c r="F18" s="756"/>
      <c r="G18" s="757"/>
      <c r="H18" s="758"/>
      <c r="J18" s="235"/>
    </row>
    <row r="19" spans="2:10" x14ac:dyDescent="0.25">
      <c r="B19" s="755"/>
      <c r="C19" s="756"/>
      <c r="D19" s="756"/>
      <c r="E19" s="756"/>
      <c r="F19" s="756"/>
      <c r="G19" s="757"/>
      <c r="H19" s="758"/>
      <c r="J19" s="235"/>
    </row>
    <row r="20" spans="2:10" x14ac:dyDescent="0.25">
      <c r="B20" s="755"/>
      <c r="C20" s="756"/>
      <c r="D20" s="756"/>
      <c r="E20" s="756"/>
      <c r="F20" s="756"/>
      <c r="G20" s="757"/>
      <c r="H20" s="758"/>
      <c r="J20" s="235"/>
    </row>
    <row r="21" spans="2:10" x14ac:dyDescent="0.25">
      <c r="B21" s="755"/>
      <c r="C21" s="756"/>
      <c r="D21" s="756"/>
      <c r="E21" s="756"/>
      <c r="F21" s="756"/>
      <c r="G21" s="757"/>
      <c r="H21" s="758"/>
      <c r="J21" s="235"/>
    </row>
    <row r="22" spans="2:10" x14ac:dyDescent="0.25">
      <c r="B22" s="755"/>
      <c r="C22" s="756"/>
      <c r="D22" s="756"/>
      <c r="E22" s="756"/>
      <c r="F22" s="756"/>
      <c r="G22" s="757"/>
      <c r="H22" s="758"/>
      <c r="J22" s="235"/>
    </row>
    <row r="23" spans="2:10" x14ac:dyDescent="0.25">
      <c r="B23" s="755"/>
      <c r="C23" s="756"/>
      <c r="D23" s="756"/>
      <c r="E23" s="756"/>
      <c r="F23" s="756"/>
      <c r="G23" s="757"/>
      <c r="H23" s="758"/>
      <c r="J23" s="235"/>
    </row>
    <row r="24" spans="2:10" x14ac:dyDescent="0.25">
      <c r="B24" s="755"/>
      <c r="C24" s="756"/>
      <c r="D24" s="756"/>
      <c r="E24" s="756"/>
      <c r="F24" s="756"/>
      <c r="G24" s="757"/>
      <c r="H24" s="758"/>
      <c r="J24" s="235"/>
    </row>
    <row r="25" spans="2:10" x14ac:dyDescent="0.25">
      <c r="B25" s="755"/>
      <c r="C25" s="756"/>
      <c r="D25" s="756"/>
      <c r="E25" s="756"/>
      <c r="F25" s="756"/>
      <c r="G25" s="757"/>
      <c r="H25" s="758"/>
      <c r="J25" s="235"/>
    </row>
    <row r="26" spans="2:10" x14ac:dyDescent="0.25">
      <c r="B26" s="755"/>
      <c r="C26" s="756"/>
      <c r="D26" s="756"/>
      <c r="E26" s="756"/>
      <c r="F26" s="756"/>
      <c r="G26" s="757"/>
      <c r="H26" s="758"/>
      <c r="J26" s="235"/>
    </row>
    <row r="27" spans="2:10" x14ac:dyDescent="0.25">
      <c r="B27" s="755"/>
      <c r="C27" s="756"/>
      <c r="D27" s="756"/>
      <c r="E27" s="756"/>
      <c r="F27" s="756"/>
      <c r="G27" s="757"/>
      <c r="H27" s="758"/>
      <c r="J27" s="235"/>
    </row>
    <row r="28" spans="2:10" x14ac:dyDescent="0.25">
      <c r="B28" s="755"/>
      <c r="C28" s="756"/>
      <c r="D28" s="756"/>
      <c r="E28" s="756"/>
      <c r="F28" s="756"/>
      <c r="G28" s="757"/>
      <c r="H28" s="758"/>
      <c r="J28" s="235"/>
    </row>
    <row r="29" spans="2:10" x14ac:dyDescent="0.25">
      <c r="B29" s="755"/>
      <c r="C29" s="756"/>
      <c r="D29" s="756"/>
      <c r="E29" s="756"/>
      <c r="F29" s="756"/>
      <c r="G29" s="757"/>
      <c r="H29" s="758"/>
      <c r="J29" s="235"/>
    </row>
    <row r="30" spans="2:10" x14ac:dyDescent="0.25">
      <c r="B30" s="755"/>
      <c r="C30" s="756"/>
      <c r="D30" s="756"/>
      <c r="E30" s="756"/>
      <c r="F30" s="756"/>
      <c r="G30" s="757"/>
      <c r="H30" s="758"/>
      <c r="J30" s="235"/>
    </row>
    <row r="31" spans="2:10" x14ac:dyDescent="0.25">
      <c r="B31" s="755"/>
      <c r="C31" s="756"/>
      <c r="D31" s="756"/>
      <c r="E31" s="756"/>
      <c r="F31" s="756"/>
      <c r="G31" s="757"/>
      <c r="H31" s="758"/>
      <c r="J31" s="235"/>
    </row>
    <row r="32" spans="2:10" x14ac:dyDescent="0.25">
      <c r="B32" s="755"/>
      <c r="C32" s="756"/>
      <c r="D32" s="756"/>
      <c r="E32" s="756"/>
      <c r="F32" s="756"/>
      <c r="G32" s="757"/>
      <c r="H32" s="758"/>
      <c r="J32" s="235"/>
    </row>
    <row r="33" spans="2:10" x14ac:dyDescent="0.25">
      <c r="B33" s="755"/>
      <c r="C33" s="756"/>
      <c r="D33" s="756"/>
      <c r="E33" s="756"/>
      <c r="F33" s="756"/>
      <c r="G33" s="757"/>
      <c r="H33" s="758"/>
      <c r="J33" s="235"/>
    </row>
    <row r="34" spans="2:10" x14ac:dyDescent="0.25">
      <c r="B34" s="755"/>
      <c r="C34" s="756"/>
      <c r="D34" s="756"/>
      <c r="E34" s="756"/>
      <c r="F34" s="756"/>
      <c r="G34" s="757"/>
      <c r="H34" s="758"/>
      <c r="J34" s="235"/>
    </row>
    <row r="35" spans="2:10" x14ac:dyDescent="0.25">
      <c r="B35" s="755"/>
      <c r="C35" s="756"/>
      <c r="D35" s="756"/>
      <c r="E35" s="756"/>
      <c r="F35" s="756"/>
      <c r="G35" s="757"/>
      <c r="H35" s="758"/>
      <c r="J35" s="235"/>
    </row>
    <row r="36" spans="2:10" x14ac:dyDescent="0.25">
      <c r="B36" s="755"/>
      <c r="C36" s="756"/>
      <c r="D36" s="756"/>
      <c r="E36" s="756"/>
      <c r="F36" s="756"/>
      <c r="G36" s="757"/>
      <c r="H36" s="758"/>
      <c r="J36" s="235"/>
    </row>
    <row r="37" spans="2:10" x14ac:dyDescent="0.25">
      <c r="B37" s="755"/>
      <c r="C37" s="756"/>
      <c r="D37" s="756"/>
      <c r="E37" s="756"/>
      <c r="F37" s="756"/>
      <c r="G37" s="757"/>
      <c r="H37" s="758"/>
      <c r="J37" s="235"/>
    </row>
    <row r="38" spans="2:10" x14ac:dyDescent="0.25">
      <c r="B38" s="755"/>
      <c r="C38" s="756"/>
      <c r="D38" s="756"/>
      <c r="E38" s="756"/>
      <c r="F38" s="756"/>
      <c r="G38" s="757"/>
      <c r="H38" s="758"/>
      <c r="J38" s="235"/>
    </row>
    <row r="39" spans="2:10" x14ac:dyDescent="0.25">
      <c r="B39" s="755"/>
      <c r="C39" s="756"/>
      <c r="D39" s="756"/>
      <c r="E39" s="756"/>
      <c r="F39" s="756"/>
      <c r="G39" s="757"/>
      <c r="H39" s="758"/>
      <c r="J39" s="235"/>
    </row>
    <row r="40" spans="2:10" x14ac:dyDescent="0.25">
      <c r="B40" s="755"/>
      <c r="C40" s="756"/>
      <c r="D40" s="756"/>
      <c r="E40" s="756"/>
      <c r="F40" s="756"/>
      <c r="G40" s="757"/>
      <c r="H40" s="758"/>
      <c r="J40" s="235"/>
    </row>
    <row r="41" spans="2:10" x14ac:dyDescent="0.25">
      <c r="B41" s="755"/>
      <c r="C41" s="756"/>
      <c r="D41" s="756"/>
      <c r="E41" s="756"/>
      <c r="F41" s="756"/>
      <c r="G41" s="757"/>
      <c r="H41" s="758"/>
      <c r="J41" s="235"/>
    </row>
    <row r="42" spans="2:10" x14ac:dyDescent="0.25">
      <c r="B42" s="755"/>
      <c r="C42" s="756"/>
      <c r="D42" s="756"/>
      <c r="E42" s="756"/>
      <c r="F42" s="759"/>
      <c r="G42" s="757"/>
      <c r="H42" s="758"/>
      <c r="J42" s="235"/>
    </row>
    <row r="43" spans="2:10" x14ac:dyDescent="0.25">
      <c r="B43" s="755"/>
      <c r="C43" s="756"/>
      <c r="D43" s="756"/>
      <c r="E43" s="756"/>
      <c r="F43" s="759"/>
      <c r="G43" s="757"/>
      <c r="H43" s="758"/>
      <c r="J43" s="235"/>
    </row>
    <row r="44" spans="2:10" x14ac:dyDescent="0.25">
      <c r="B44" s="755"/>
      <c r="C44" s="756"/>
      <c r="D44" s="756"/>
      <c r="E44" s="756"/>
      <c r="F44" s="756"/>
      <c r="G44" s="756"/>
      <c r="H44" s="760"/>
      <c r="J44" s="235"/>
    </row>
    <row r="45" spans="2:10" x14ac:dyDescent="0.25">
      <c r="B45" s="755"/>
      <c r="C45" s="756"/>
      <c r="D45" s="756"/>
      <c r="E45" s="756"/>
      <c r="F45" s="756"/>
      <c r="G45" s="756"/>
      <c r="H45" s="760"/>
      <c r="J45" s="235"/>
    </row>
    <row r="46" spans="2:10" x14ac:dyDescent="0.25">
      <c r="B46" s="755"/>
      <c r="C46" s="756"/>
      <c r="D46" s="756"/>
      <c r="E46" s="756"/>
      <c r="F46" s="756"/>
      <c r="G46" s="756"/>
      <c r="H46" s="760"/>
      <c r="J46" s="235"/>
    </row>
    <row r="47" spans="2:10" ht="17.25" thickBot="1" x14ac:dyDescent="0.3">
      <c r="B47" s="761"/>
      <c r="C47" s="762"/>
      <c r="D47" s="762"/>
      <c r="E47" s="762"/>
      <c r="F47" s="762"/>
      <c r="G47" s="762"/>
      <c r="H47" s="763"/>
      <c r="J47" s="235"/>
    </row>
    <row r="48" spans="2:10" ht="17.25" thickBot="1" x14ac:dyDescent="0.3">
      <c r="J48" s="235"/>
    </row>
    <row r="49" spans="2:10" s="32" customFormat="1" ht="18" thickBot="1" x14ac:dyDescent="0.3">
      <c r="B49" s="859" t="s">
        <v>362</v>
      </c>
      <c r="C49" s="860"/>
      <c r="D49" s="860"/>
      <c r="E49" s="860"/>
      <c r="F49" s="860"/>
      <c r="G49" s="860"/>
      <c r="H49" s="861"/>
      <c r="J49" s="235"/>
    </row>
    <row r="50" spans="2:10" s="22" customFormat="1" x14ac:dyDescent="0.25">
      <c r="B50" s="60"/>
      <c r="C50" s="40"/>
      <c r="D50" s="40"/>
      <c r="E50" s="40"/>
      <c r="F50" s="40"/>
      <c r="G50" s="40"/>
      <c r="H50" s="61"/>
      <c r="J50" s="235"/>
    </row>
    <row r="51" spans="2:10" s="22" customFormat="1" ht="18" x14ac:dyDescent="0.25">
      <c r="B51" s="60"/>
      <c r="C51" s="320"/>
      <c r="D51" s="66"/>
      <c r="E51" s="210" t="s">
        <v>387</v>
      </c>
      <c r="F51" s="862" t="s">
        <v>636</v>
      </c>
      <c r="G51" s="862"/>
      <c r="H51" s="61"/>
      <c r="J51" s="235"/>
    </row>
    <row r="52" spans="2:10" s="22" customFormat="1" x14ac:dyDescent="0.25">
      <c r="B52" s="60"/>
      <c r="C52" s="40"/>
      <c r="D52" s="40"/>
      <c r="E52" s="40"/>
      <c r="F52" s="40"/>
      <c r="G52" s="40"/>
      <c r="H52" s="61"/>
      <c r="J52" s="235"/>
    </row>
    <row r="53" spans="2:10" s="22" customFormat="1" ht="15" customHeight="1" x14ac:dyDescent="0.25">
      <c r="B53" s="60" t="s">
        <v>35</v>
      </c>
      <c r="C53" s="40"/>
      <c r="D53" s="40"/>
      <c r="E53" s="40"/>
      <c r="F53" s="40"/>
      <c r="G53" s="40"/>
      <c r="H53" s="61"/>
      <c r="J53" s="235"/>
    </row>
    <row r="54" spans="2:10" s="22" customFormat="1" x14ac:dyDescent="0.25">
      <c r="B54" s="847"/>
      <c r="C54" s="848"/>
      <c r="D54" s="848"/>
      <c r="E54" s="848"/>
      <c r="F54" s="848"/>
      <c r="G54" s="848"/>
      <c r="H54" s="849"/>
      <c r="J54" s="235"/>
    </row>
    <row r="55" spans="2:10" s="22" customFormat="1" x14ac:dyDescent="0.25">
      <c r="B55" s="850"/>
      <c r="C55" s="851"/>
      <c r="D55" s="851"/>
      <c r="E55" s="851"/>
      <c r="F55" s="851"/>
      <c r="G55" s="851"/>
      <c r="H55" s="852"/>
      <c r="J55" s="235"/>
    </row>
    <row r="56" spans="2:10" s="22" customFormat="1" x14ac:dyDescent="0.25">
      <c r="B56" s="850"/>
      <c r="C56" s="851"/>
      <c r="D56" s="851"/>
      <c r="E56" s="851"/>
      <c r="F56" s="851"/>
      <c r="G56" s="851"/>
      <c r="H56" s="852"/>
      <c r="J56" s="235"/>
    </row>
    <row r="57" spans="2:10" s="22" customFormat="1" x14ac:dyDescent="0.25">
      <c r="B57" s="850"/>
      <c r="C57" s="851"/>
      <c r="D57" s="851"/>
      <c r="E57" s="851"/>
      <c r="F57" s="851"/>
      <c r="G57" s="851"/>
      <c r="H57" s="852"/>
      <c r="J57" s="235"/>
    </row>
    <row r="58" spans="2:10" s="22" customFormat="1" x14ac:dyDescent="0.25">
      <c r="B58" s="853"/>
      <c r="C58" s="854"/>
      <c r="D58" s="854"/>
      <c r="E58" s="854"/>
      <c r="F58" s="854"/>
      <c r="G58" s="854"/>
      <c r="H58" s="855"/>
      <c r="J58" s="235"/>
    </row>
    <row r="59" spans="2:10" s="22" customFormat="1" x14ac:dyDescent="0.25">
      <c r="B59" s="60"/>
      <c r="C59" s="40"/>
      <c r="D59" s="40"/>
      <c r="E59" s="40"/>
      <c r="F59" s="40"/>
      <c r="G59" s="40"/>
      <c r="H59" s="61"/>
      <c r="J59" s="235"/>
    </row>
    <row r="60" spans="2:10" s="22" customFormat="1" ht="15" customHeight="1" x14ac:dyDescent="0.25">
      <c r="B60" s="60" t="s">
        <v>36</v>
      </c>
      <c r="C60" s="40"/>
      <c r="D60" s="40"/>
      <c r="E60" s="40"/>
      <c r="F60" s="40"/>
      <c r="G60" s="40"/>
      <c r="H60" s="61"/>
      <c r="J60" s="235"/>
    </row>
    <row r="61" spans="2:10" s="22" customFormat="1" x14ac:dyDescent="0.25">
      <c r="B61" s="847"/>
      <c r="C61" s="848"/>
      <c r="D61" s="848"/>
      <c r="E61" s="848"/>
      <c r="F61" s="848"/>
      <c r="G61" s="848"/>
      <c r="H61" s="849"/>
      <c r="J61" s="235"/>
    </row>
    <row r="62" spans="2:10" s="22" customFormat="1" x14ac:dyDescent="0.25">
      <c r="B62" s="850"/>
      <c r="C62" s="851"/>
      <c r="D62" s="851"/>
      <c r="E62" s="851"/>
      <c r="F62" s="851"/>
      <c r="G62" s="851"/>
      <c r="H62" s="852"/>
      <c r="J62" s="235"/>
    </row>
    <row r="63" spans="2:10" s="22" customFormat="1" x14ac:dyDescent="0.25">
      <c r="B63" s="850"/>
      <c r="C63" s="851"/>
      <c r="D63" s="851"/>
      <c r="E63" s="851"/>
      <c r="F63" s="851"/>
      <c r="G63" s="851"/>
      <c r="H63" s="852"/>
      <c r="J63" s="235"/>
    </row>
    <row r="64" spans="2:10" s="22" customFormat="1" x14ac:dyDescent="0.25">
      <c r="B64" s="850"/>
      <c r="C64" s="851"/>
      <c r="D64" s="851"/>
      <c r="E64" s="851"/>
      <c r="F64" s="851"/>
      <c r="G64" s="851"/>
      <c r="H64" s="852"/>
      <c r="J64" s="235"/>
    </row>
    <row r="65" spans="1:10" s="22" customFormat="1" ht="17.25" thickBot="1" x14ac:dyDescent="0.3">
      <c r="B65" s="856"/>
      <c r="C65" s="857"/>
      <c r="D65" s="857"/>
      <c r="E65" s="857"/>
      <c r="F65" s="857"/>
      <c r="G65" s="857"/>
      <c r="H65" s="858"/>
      <c r="J65" s="235"/>
    </row>
    <row r="66" spans="1:10" x14ac:dyDescent="0.25">
      <c r="J66" s="235"/>
    </row>
    <row r="67" spans="1:10" s="238" customFormat="1" x14ac:dyDescent="0.25">
      <c r="A67" s="235"/>
      <c r="B67" s="235"/>
      <c r="C67" s="235"/>
      <c r="D67" s="235"/>
      <c r="E67" s="235"/>
      <c r="F67" s="235"/>
      <c r="G67" s="235"/>
      <c r="H67" s="235"/>
      <c r="I67" s="235"/>
      <c r="J67" s="235"/>
    </row>
  </sheetData>
  <sheetProtection password="CA08" sheet="1" objects="1" scenarios="1" selectLockedCells="1"/>
  <protectedRanges>
    <protectedRange sqref="B13:H47" name="Range1"/>
  </protectedRanges>
  <customSheetViews>
    <customSheetView guid="{2A4C6EB9-430A-44F2-86C8-15B50360FC3B}" scale="80" showGridLines="0">
      <selection activeCell="G34" sqref="G34"/>
      <pageMargins left="0.7" right="0.7" top="0.75" bottom="0.75" header="0.3" footer="0.3"/>
      <pageSetup orientation="portrait" r:id="rId1"/>
    </customSheetView>
    <customSheetView guid="{B3BD5AF3-9A64-4EA7-AE1F-3CC326849B8F}" scale="80" showGridLines="0">
      <selection activeCell="C6" sqref="C6"/>
      <pageMargins left="0.7" right="0.7" top="0.75" bottom="0.75" header="0.3" footer="0.3"/>
      <pageSetup orientation="portrait" r:id="rId2"/>
    </customSheetView>
  </customSheetViews>
  <mergeCells count="6">
    <mergeCell ref="B54:H58"/>
    <mergeCell ref="B61:H65"/>
    <mergeCell ref="B2:C2"/>
    <mergeCell ref="B11:H11"/>
    <mergeCell ref="B49:H49"/>
    <mergeCell ref="F51:G51"/>
  </mergeCells>
  <phoneticPr fontId="26" type="noConversion"/>
  <hyperlinks>
    <hyperlink ref="F51" location="Photos!B80" display="the Photos tab (Photo Box #4)" xr:uid="{00000000-0004-0000-0200-000000000000}"/>
    <hyperlink ref="E3" location="Instructions!A1" display="Back to Instructions" xr:uid="{00000000-0004-0000-0200-000001000000}"/>
    <hyperlink ref="F51:G51" location="Photos!J60" display="the Photos tab (Photo Box #5)" xr:uid="{00000000-0004-0000-0200-000002000000}"/>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O107"/>
  <sheetViews>
    <sheetView showGridLines="0" zoomScale="80" zoomScaleNormal="80" workbookViewId="0">
      <selection activeCell="E3" sqref="E3:F3"/>
    </sheetView>
  </sheetViews>
  <sheetFormatPr defaultColWidth="9.140625" defaultRowHeight="16.5" x14ac:dyDescent="0.25"/>
  <cols>
    <col min="1" max="1" width="3.5703125" style="22" customWidth="1"/>
    <col min="2" max="2" width="57.7109375" style="22" customWidth="1"/>
    <col min="3" max="3" width="46.28515625" style="22" customWidth="1"/>
    <col min="4" max="5" width="9.140625" style="22"/>
    <col min="6" max="6" width="20.85546875" style="22" customWidth="1"/>
    <col min="7" max="12" width="9.140625" style="22"/>
    <col min="13" max="13" width="11.5703125" style="22" customWidth="1"/>
    <col min="14" max="14" width="4.140625" style="22" customWidth="1"/>
    <col min="15" max="15" width="2" style="54" customWidth="1"/>
    <col min="16" max="16384" width="9.140625" style="22"/>
  </cols>
  <sheetData>
    <row r="1" spans="1:15" s="239" customFormat="1" ht="18" thickBot="1" x14ac:dyDescent="0.3">
      <c r="A1" s="32"/>
      <c r="O1" s="165"/>
    </row>
    <row r="2" spans="1:15" s="239" customFormat="1" ht="18" thickBot="1" x14ac:dyDescent="0.3">
      <c r="A2" s="32"/>
      <c r="B2" s="805" t="s">
        <v>622</v>
      </c>
      <c r="C2" s="806"/>
      <c r="O2" s="240"/>
    </row>
    <row r="3" spans="1:15" s="239" customFormat="1" ht="17.25" x14ac:dyDescent="0.25">
      <c r="A3" s="32"/>
      <c r="B3" s="365" t="s">
        <v>623</v>
      </c>
      <c r="C3" s="366" t="str">
        <f>'Version Control'!C3</f>
        <v>Commercial Air Conditioner and Heat Pump</v>
      </c>
      <c r="E3" s="840" t="s">
        <v>553</v>
      </c>
      <c r="F3" s="840"/>
      <c r="O3" s="240"/>
    </row>
    <row r="4" spans="1:15" s="239" customFormat="1" ht="17.25" x14ac:dyDescent="0.25">
      <c r="A4" s="32"/>
      <c r="B4" s="367" t="s">
        <v>142</v>
      </c>
      <c r="C4" s="368" t="str">
        <f>'Version Control'!C4</f>
        <v>v2.2</v>
      </c>
      <c r="O4" s="240"/>
    </row>
    <row r="5" spans="1:15" s="239" customFormat="1" ht="17.25" x14ac:dyDescent="0.25">
      <c r="A5" s="32"/>
      <c r="B5" s="367" t="s">
        <v>475</v>
      </c>
      <c r="C5" s="369">
        <f>'Version Control'!C5</f>
        <v>43353</v>
      </c>
      <c r="O5" s="240"/>
    </row>
    <row r="6" spans="1:15" s="239" customFormat="1" ht="17.25" x14ac:dyDescent="0.25">
      <c r="A6" s="32"/>
      <c r="B6" s="370" t="s">
        <v>141</v>
      </c>
      <c r="C6" s="371" t="str">
        <f ca="1">MID(CELL("filename",$A$1), FIND("]", CELL("filename", $A$1))+ 1, 255)</f>
        <v>Setup</v>
      </c>
      <c r="O6" s="240"/>
    </row>
    <row r="7" spans="1:15" s="239" customFormat="1" ht="40.5" customHeight="1" x14ac:dyDescent="0.25">
      <c r="A7" s="241"/>
      <c r="B7" s="361" t="s">
        <v>140</v>
      </c>
      <c r="C7" s="362" t="str">
        <f ca="1">'Version Control'!C7</f>
        <v>Commercial Air Conditioner and Heat Pump - v2.2.xlsx</v>
      </c>
      <c r="O7" s="240"/>
    </row>
    <row r="8" spans="1:15" s="239" customFormat="1" ht="17.25" thickBot="1" x14ac:dyDescent="0.3">
      <c r="A8" s="241"/>
      <c r="B8" s="372" t="s">
        <v>143</v>
      </c>
      <c r="C8" s="373" t="str">
        <f>'Version Control'!C8</f>
        <v>[MM/DD/YYYY]</v>
      </c>
      <c r="O8" s="240"/>
    </row>
    <row r="9" spans="1:15" s="239" customFormat="1" x14ac:dyDescent="0.25">
      <c r="O9" s="240"/>
    </row>
    <row r="10" spans="1:15" ht="17.25" thickBot="1" x14ac:dyDescent="0.3">
      <c r="O10" s="41"/>
    </row>
    <row r="11" spans="1:15" s="32" customFormat="1" ht="18" thickBot="1" x14ac:dyDescent="0.3">
      <c r="B11" s="859" t="s">
        <v>472</v>
      </c>
      <c r="C11" s="860"/>
      <c r="D11" s="860"/>
      <c r="E11" s="860"/>
      <c r="F11" s="860"/>
      <c r="G11" s="860"/>
      <c r="H11" s="860"/>
      <c r="I11" s="860"/>
      <c r="J11" s="860"/>
      <c r="K11" s="860"/>
      <c r="L11" s="860"/>
      <c r="M11" s="861"/>
      <c r="O11" s="33"/>
    </row>
    <row r="12" spans="1:15" ht="55.5" customHeight="1" x14ac:dyDescent="0.25">
      <c r="B12" s="307" t="s">
        <v>604</v>
      </c>
      <c r="C12" s="100"/>
      <c r="D12" s="40"/>
      <c r="E12" s="40"/>
      <c r="F12" s="40"/>
      <c r="G12" s="40"/>
      <c r="H12" s="40"/>
      <c r="I12" s="40"/>
      <c r="J12" s="40"/>
      <c r="K12" s="40"/>
      <c r="L12" s="40"/>
      <c r="M12" s="61"/>
      <c r="O12" s="41"/>
    </row>
    <row r="13" spans="1:15" ht="66" customHeight="1" x14ac:dyDescent="0.25">
      <c r="B13" s="867" t="s">
        <v>605</v>
      </c>
      <c r="C13" s="863"/>
      <c r="D13" s="848"/>
      <c r="E13" s="848"/>
      <c r="F13" s="848"/>
      <c r="G13" s="848"/>
      <c r="H13" s="848"/>
      <c r="I13" s="848"/>
      <c r="J13" s="848"/>
      <c r="K13" s="848"/>
      <c r="L13" s="848"/>
      <c r="M13" s="849"/>
      <c r="O13" s="41"/>
    </row>
    <row r="14" spans="1:15" x14ac:dyDescent="0.25">
      <c r="B14" s="868"/>
      <c r="C14" s="864"/>
      <c r="D14" s="851"/>
      <c r="E14" s="851"/>
      <c r="F14" s="851"/>
      <c r="G14" s="851"/>
      <c r="H14" s="851"/>
      <c r="I14" s="851"/>
      <c r="J14" s="851"/>
      <c r="K14" s="851"/>
      <c r="L14" s="851"/>
      <c r="M14" s="852"/>
      <c r="O14" s="41"/>
    </row>
    <row r="15" spans="1:15" x14ac:dyDescent="0.25">
      <c r="B15" s="868"/>
      <c r="C15" s="864"/>
      <c r="D15" s="851"/>
      <c r="E15" s="851"/>
      <c r="F15" s="851"/>
      <c r="G15" s="851"/>
      <c r="H15" s="851"/>
      <c r="I15" s="851"/>
      <c r="J15" s="851"/>
      <c r="K15" s="851"/>
      <c r="L15" s="851"/>
      <c r="M15" s="852"/>
      <c r="O15" s="41"/>
    </row>
    <row r="16" spans="1:15" ht="17.25" thickBot="1" x14ac:dyDescent="0.3">
      <c r="B16" s="869"/>
      <c r="C16" s="866"/>
      <c r="D16" s="857"/>
      <c r="E16" s="857"/>
      <c r="F16" s="857"/>
      <c r="G16" s="857"/>
      <c r="H16" s="857"/>
      <c r="I16" s="857"/>
      <c r="J16" s="857"/>
      <c r="K16" s="857"/>
      <c r="L16" s="857"/>
      <c r="M16" s="858"/>
      <c r="O16" s="41"/>
    </row>
    <row r="17" spans="2:15" ht="17.25" thickBot="1" x14ac:dyDescent="0.3">
      <c r="B17" s="40"/>
      <c r="C17" s="72"/>
      <c r="D17" s="72"/>
      <c r="E17" s="72"/>
      <c r="F17" s="72"/>
      <c r="G17" s="72"/>
      <c r="H17" s="72"/>
      <c r="I17" s="72"/>
      <c r="J17" s="72"/>
      <c r="K17" s="72"/>
      <c r="L17" s="72"/>
      <c r="M17" s="73"/>
      <c r="O17" s="41"/>
    </row>
    <row r="18" spans="2:15" s="32" customFormat="1" ht="18" thickBot="1" x14ac:dyDescent="0.3">
      <c r="B18" s="859" t="s">
        <v>473</v>
      </c>
      <c r="C18" s="860"/>
      <c r="D18" s="860"/>
      <c r="E18" s="860"/>
      <c r="F18" s="860"/>
      <c r="G18" s="860"/>
      <c r="H18" s="860"/>
      <c r="I18" s="860"/>
      <c r="J18" s="860"/>
      <c r="K18" s="860"/>
      <c r="L18" s="860"/>
      <c r="M18" s="861"/>
      <c r="O18" s="33"/>
    </row>
    <row r="19" spans="2:15" ht="49.5" x14ac:dyDescent="0.25">
      <c r="B19" s="308" t="s">
        <v>606</v>
      </c>
      <c r="C19" s="100"/>
      <c r="D19" s="40"/>
      <c r="E19" s="40"/>
      <c r="F19" s="40"/>
      <c r="G19" s="40"/>
      <c r="H19" s="40"/>
      <c r="I19" s="40"/>
      <c r="J19" s="40"/>
      <c r="K19" s="40"/>
      <c r="L19" s="40"/>
      <c r="M19" s="61"/>
      <c r="O19" s="41"/>
    </row>
    <row r="20" spans="2:15" ht="66" customHeight="1" x14ac:dyDescent="0.25">
      <c r="B20" s="870" t="s">
        <v>607</v>
      </c>
      <c r="C20" s="863"/>
      <c r="D20" s="848"/>
      <c r="E20" s="848"/>
      <c r="F20" s="848"/>
      <c r="G20" s="848"/>
      <c r="H20" s="848"/>
      <c r="I20" s="848"/>
      <c r="J20" s="848"/>
      <c r="K20" s="848"/>
      <c r="L20" s="848"/>
      <c r="M20" s="849"/>
      <c r="O20" s="41"/>
    </row>
    <row r="21" spans="2:15" x14ac:dyDescent="0.25">
      <c r="B21" s="870"/>
      <c r="C21" s="864"/>
      <c r="D21" s="851"/>
      <c r="E21" s="851"/>
      <c r="F21" s="851"/>
      <c r="G21" s="851"/>
      <c r="H21" s="851"/>
      <c r="I21" s="851"/>
      <c r="J21" s="851"/>
      <c r="K21" s="851"/>
      <c r="L21" s="851"/>
      <c r="M21" s="852"/>
      <c r="O21" s="41"/>
    </row>
    <row r="22" spans="2:15" x14ac:dyDescent="0.25">
      <c r="B22" s="870"/>
      <c r="C22" s="864"/>
      <c r="D22" s="851"/>
      <c r="E22" s="851"/>
      <c r="F22" s="851"/>
      <c r="G22" s="851"/>
      <c r="H22" s="851"/>
      <c r="I22" s="851"/>
      <c r="J22" s="851"/>
      <c r="K22" s="851"/>
      <c r="L22" s="851"/>
      <c r="M22" s="852"/>
      <c r="O22" s="41"/>
    </row>
    <row r="23" spans="2:15" x14ac:dyDescent="0.25">
      <c r="B23" s="870"/>
      <c r="C23" s="865"/>
      <c r="D23" s="854"/>
      <c r="E23" s="854"/>
      <c r="F23" s="854"/>
      <c r="G23" s="854"/>
      <c r="H23" s="854"/>
      <c r="I23" s="854"/>
      <c r="J23" s="854"/>
      <c r="K23" s="854"/>
      <c r="L23" s="854"/>
      <c r="M23" s="855"/>
      <c r="O23" s="41"/>
    </row>
    <row r="24" spans="2:15" ht="18" x14ac:dyDescent="0.25">
      <c r="B24" s="62" t="s">
        <v>388</v>
      </c>
      <c r="C24" s="40"/>
      <c r="D24" s="40"/>
      <c r="E24" s="40"/>
      <c r="F24" s="40"/>
      <c r="G24" s="40"/>
      <c r="H24" s="40"/>
      <c r="I24" s="40"/>
      <c r="J24" s="40"/>
      <c r="K24" s="40"/>
      <c r="L24" s="40"/>
      <c r="M24" s="61"/>
      <c r="O24" s="41"/>
    </row>
    <row r="25" spans="2:15" ht="19.5" x14ac:dyDescent="0.25">
      <c r="B25" s="63" t="s">
        <v>383</v>
      </c>
      <c r="C25" s="40"/>
      <c r="D25" s="40"/>
      <c r="E25" s="40"/>
      <c r="F25" s="40"/>
      <c r="G25" s="40"/>
      <c r="H25" s="40"/>
      <c r="I25" s="40"/>
      <c r="J25" s="40"/>
      <c r="K25" s="40"/>
      <c r="L25" s="40"/>
      <c r="M25" s="61"/>
      <c r="O25" s="41"/>
    </row>
    <row r="26" spans="2:15" x14ac:dyDescent="0.25">
      <c r="B26" s="847"/>
      <c r="C26" s="848"/>
      <c r="D26" s="848"/>
      <c r="E26" s="848"/>
      <c r="F26" s="848"/>
      <c r="G26" s="848"/>
      <c r="H26" s="848"/>
      <c r="I26" s="848"/>
      <c r="J26" s="848"/>
      <c r="K26" s="848"/>
      <c r="L26" s="848"/>
      <c r="M26" s="849"/>
      <c r="O26" s="41"/>
    </row>
    <row r="27" spans="2:15" x14ac:dyDescent="0.25">
      <c r="B27" s="850"/>
      <c r="C27" s="851"/>
      <c r="D27" s="851"/>
      <c r="E27" s="851"/>
      <c r="F27" s="851"/>
      <c r="G27" s="851"/>
      <c r="H27" s="851"/>
      <c r="I27" s="851"/>
      <c r="J27" s="851"/>
      <c r="K27" s="851"/>
      <c r="L27" s="851"/>
      <c r="M27" s="852"/>
      <c r="O27" s="41"/>
    </row>
    <row r="28" spans="2:15" x14ac:dyDescent="0.25">
      <c r="B28" s="850"/>
      <c r="C28" s="851"/>
      <c r="D28" s="851"/>
      <c r="E28" s="851"/>
      <c r="F28" s="851"/>
      <c r="G28" s="851"/>
      <c r="H28" s="851"/>
      <c r="I28" s="851"/>
      <c r="J28" s="851"/>
      <c r="K28" s="851"/>
      <c r="L28" s="851"/>
      <c r="M28" s="852"/>
      <c r="O28" s="41"/>
    </row>
    <row r="29" spans="2:15" x14ac:dyDescent="0.25">
      <c r="B29" s="850"/>
      <c r="C29" s="851"/>
      <c r="D29" s="851"/>
      <c r="E29" s="851"/>
      <c r="F29" s="851"/>
      <c r="G29" s="851"/>
      <c r="H29" s="851"/>
      <c r="I29" s="851"/>
      <c r="J29" s="851"/>
      <c r="K29" s="851"/>
      <c r="L29" s="851"/>
      <c r="M29" s="852"/>
      <c r="O29" s="41"/>
    </row>
    <row r="30" spans="2:15" x14ac:dyDescent="0.25">
      <c r="B30" s="850"/>
      <c r="C30" s="851"/>
      <c r="D30" s="851"/>
      <c r="E30" s="851"/>
      <c r="F30" s="851"/>
      <c r="G30" s="851"/>
      <c r="H30" s="851"/>
      <c r="I30" s="851"/>
      <c r="J30" s="851"/>
      <c r="K30" s="851"/>
      <c r="L30" s="851"/>
      <c r="M30" s="852"/>
      <c r="O30" s="41"/>
    </row>
    <row r="31" spans="2:15" x14ac:dyDescent="0.25">
      <c r="B31" s="850"/>
      <c r="C31" s="851"/>
      <c r="D31" s="851"/>
      <c r="E31" s="851"/>
      <c r="F31" s="851"/>
      <c r="G31" s="851"/>
      <c r="H31" s="851"/>
      <c r="I31" s="851"/>
      <c r="J31" s="851"/>
      <c r="K31" s="851"/>
      <c r="L31" s="851"/>
      <c r="M31" s="852"/>
      <c r="O31" s="41"/>
    </row>
    <row r="32" spans="2:15" x14ac:dyDescent="0.25">
      <c r="B32" s="850"/>
      <c r="C32" s="851"/>
      <c r="D32" s="851"/>
      <c r="E32" s="851"/>
      <c r="F32" s="851"/>
      <c r="G32" s="851"/>
      <c r="H32" s="851"/>
      <c r="I32" s="851"/>
      <c r="J32" s="851"/>
      <c r="K32" s="851"/>
      <c r="L32" s="851"/>
      <c r="M32" s="852"/>
      <c r="O32" s="41"/>
    </row>
    <row r="33" spans="2:15" x14ac:dyDescent="0.25">
      <c r="B33" s="850"/>
      <c r="C33" s="851"/>
      <c r="D33" s="851"/>
      <c r="E33" s="851"/>
      <c r="F33" s="851"/>
      <c r="G33" s="851"/>
      <c r="H33" s="851"/>
      <c r="I33" s="851"/>
      <c r="J33" s="851"/>
      <c r="K33" s="851"/>
      <c r="L33" s="851"/>
      <c r="M33" s="852"/>
      <c r="O33" s="41"/>
    </row>
    <row r="34" spans="2:15" x14ac:dyDescent="0.25">
      <c r="B34" s="850"/>
      <c r="C34" s="851"/>
      <c r="D34" s="851"/>
      <c r="E34" s="851"/>
      <c r="F34" s="851"/>
      <c r="G34" s="851"/>
      <c r="H34" s="851"/>
      <c r="I34" s="851"/>
      <c r="J34" s="851"/>
      <c r="K34" s="851"/>
      <c r="L34" s="851"/>
      <c r="M34" s="852"/>
      <c r="O34" s="41"/>
    </row>
    <row r="35" spans="2:15" x14ac:dyDescent="0.25">
      <c r="B35" s="850"/>
      <c r="C35" s="851"/>
      <c r="D35" s="851"/>
      <c r="E35" s="851"/>
      <c r="F35" s="851"/>
      <c r="G35" s="851"/>
      <c r="H35" s="851"/>
      <c r="I35" s="851"/>
      <c r="J35" s="851"/>
      <c r="K35" s="851"/>
      <c r="L35" s="851"/>
      <c r="M35" s="852"/>
      <c r="O35" s="41"/>
    </row>
    <row r="36" spans="2:15" x14ac:dyDescent="0.25">
      <c r="B36" s="850"/>
      <c r="C36" s="851"/>
      <c r="D36" s="851"/>
      <c r="E36" s="851"/>
      <c r="F36" s="851"/>
      <c r="G36" s="851"/>
      <c r="H36" s="851"/>
      <c r="I36" s="851"/>
      <c r="J36" s="851"/>
      <c r="K36" s="851"/>
      <c r="L36" s="851"/>
      <c r="M36" s="852"/>
      <c r="O36" s="41"/>
    </row>
    <row r="37" spans="2:15" x14ac:dyDescent="0.25">
      <c r="B37" s="850"/>
      <c r="C37" s="851"/>
      <c r="D37" s="851"/>
      <c r="E37" s="851"/>
      <c r="F37" s="851"/>
      <c r="G37" s="851"/>
      <c r="H37" s="851"/>
      <c r="I37" s="851"/>
      <c r="J37" s="851"/>
      <c r="K37" s="851"/>
      <c r="L37" s="851"/>
      <c r="M37" s="852"/>
      <c r="O37" s="41"/>
    </row>
    <row r="38" spans="2:15" x14ac:dyDescent="0.25">
      <c r="B38" s="850"/>
      <c r="C38" s="851"/>
      <c r="D38" s="851"/>
      <c r="E38" s="851"/>
      <c r="F38" s="851"/>
      <c r="G38" s="851"/>
      <c r="H38" s="851"/>
      <c r="I38" s="851"/>
      <c r="J38" s="851"/>
      <c r="K38" s="851"/>
      <c r="L38" s="851"/>
      <c r="M38" s="852"/>
      <c r="O38" s="41"/>
    </row>
    <row r="39" spans="2:15" x14ac:dyDescent="0.25">
      <c r="B39" s="850"/>
      <c r="C39" s="851"/>
      <c r="D39" s="851"/>
      <c r="E39" s="851"/>
      <c r="F39" s="851"/>
      <c r="G39" s="851"/>
      <c r="H39" s="851"/>
      <c r="I39" s="851"/>
      <c r="J39" s="851"/>
      <c r="K39" s="851"/>
      <c r="L39" s="851"/>
      <c r="M39" s="852"/>
      <c r="O39" s="41"/>
    </row>
    <row r="40" spans="2:15" x14ac:dyDescent="0.25">
      <c r="B40" s="850"/>
      <c r="C40" s="851"/>
      <c r="D40" s="851"/>
      <c r="E40" s="851"/>
      <c r="F40" s="851"/>
      <c r="G40" s="851"/>
      <c r="H40" s="851"/>
      <c r="I40" s="851"/>
      <c r="J40" s="851"/>
      <c r="K40" s="851"/>
      <c r="L40" s="851"/>
      <c r="M40" s="852"/>
      <c r="O40" s="41"/>
    </row>
    <row r="41" spans="2:15" x14ac:dyDescent="0.25">
      <c r="B41" s="850"/>
      <c r="C41" s="851"/>
      <c r="D41" s="851"/>
      <c r="E41" s="851"/>
      <c r="F41" s="851"/>
      <c r="G41" s="851"/>
      <c r="H41" s="851"/>
      <c r="I41" s="851"/>
      <c r="J41" s="851"/>
      <c r="K41" s="851"/>
      <c r="L41" s="851"/>
      <c r="M41" s="852"/>
      <c r="O41" s="41"/>
    </row>
    <row r="42" spans="2:15" x14ac:dyDescent="0.25">
      <c r="B42" s="850"/>
      <c r="C42" s="851"/>
      <c r="D42" s="851"/>
      <c r="E42" s="851"/>
      <c r="F42" s="851"/>
      <c r="G42" s="851"/>
      <c r="H42" s="851"/>
      <c r="I42" s="851"/>
      <c r="J42" s="851"/>
      <c r="K42" s="851"/>
      <c r="L42" s="851"/>
      <c r="M42" s="852"/>
      <c r="O42" s="41"/>
    </row>
    <row r="43" spans="2:15" x14ac:dyDescent="0.25">
      <c r="B43" s="850"/>
      <c r="C43" s="851"/>
      <c r="D43" s="851"/>
      <c r="E43" s="851"/>
      <c r="F43" s="851"/>
      <c r="G43" s="851"/>
      <c r="H43" s="851"/>
      <c r="I43" s="851"/>
      <c r="J43" s="851"/>
      <c r="K43" s="851"/>
      <c r="L43" s="851"/>
      <c r="M43" s="852"/>
      <c r="O43" s="41"/>
    </row>
    <row r="44" spans="2:15" x14ac:dyDescent="0.25">
      <c r="B44" s="850"/>
      <c r="C44" s="851"/>
      <c r="D44" s="851"/>
      <c r="E44" s="851"/>
      <c r="F44" s="851"/>
      <c r="G44" s="851"/>
      <c r="H44" s="851"/>
      <c r="I44" s="851"/>
      <c r="J44" s="851"/>
      <c r="K44" s="851"/>
      <c r="L44" s="851"/>
      <c r="M44" s="852"/>
      <c r="O44" s="41"/>
    </row>
    <row r="45" spans="2:15" ht="17.25" customHeight="1" x14ac:dyDescent="0.25">
      <c r="B45" s="850"/>
      <c r="C45" s="851"/>
      <c r="D45" s="851"/>
      <c r="E45" s="851"/>
      <c r="F45" s="851"/>
      <c r="G45" s="851"/>
      <c r="H45" s="851"/>
      <c r="I45" s="851"/>
      <c r="J45" s="851"/>
      <c r="K45" s="851"/>
      <c r="L45" s="851"/>
      <c r="M45" s="852"/>
      <c r="O45" s="41"/>
    </row>
    <row r="46" spans="2:15" ht="17.25" customHeight="1" x14ac:dyDescent="0.25">
      <c r="B46" s="850"/>
      <c r="C46" s="851"/>
      <c r="D46" s="851"/>
      <c r="E46" s="851"/>
      <c r="F46" s="851"/>
      <c r="G46" s="851"/>
      <c r="H46" s="851"/>
      <c r="I46" s="851"/>
      <c r="J46" s="851"/>
      <c r="K46" s="851"/>
      <c r="L46" s="851"/>
      <c r="M46" s="852"/>
      <c r="O46" s="41"/>
    </row>
    <row r="47" spans="2:15" x14ac:dyDescent="0.25">
      <c r="B47" s="850"/>
      <c r="C47" s="851"/>
      <c r="D47" s="851"/>
      <c r="E47" s="851"/>
      <c r="F47" s="851"/>
      <c r="G47" s="851"/>
      <c r="H47" s="851"/>
      <c r="I47" s="851"/>
      <c r="J47" s="851"/>
      <c r="K47" s="851"/>
      <c r="L47" s="851"/>
      <c r="M47" s="852"/>
      <c r="O47" s="41"/>
    </row>
    <row r="48" spans="2:15" x14ac:dyDescent="0.25">
      <c r="B48" s="850"/>
      <c r="C48" s="851"/>
      <c r="D48" s="851"/>
      <c r="E48" s="851"/>
      <c r="F48" s="851"/>
      <c r="G48" s="851"/>
      <c r="H48" s="851"/>
      <c r="I48" s="851"/>
      <c r="J48" s="851"/>
      <c r="K48" s="851"/>
      <c r="L48" s="851"/>
      <c r="M48" s="852"/>
      <c r="O48" s="41"/>
    </row>
    <row r="49" spans="2:15" x14ac:dyDescent="0.25">
      <c r="B49" s="850"/>
      <c r="C49" s="851"/>
      <c r="D49" s="851"/>
      <c r="E49" s="851"/>
      <c r="F49" s="851"/>
      <c r="G49" s="851"/>
      <c r="H49" s="851"/>
      <c r="I49" s="851"/>
      <c r="J49" s="851"/>
      <c r="K49" s="851"/>
      <c r="L49" s="851"/>
      <c r="M49" s="852"/>
      <c r="O49" s="41"/>
    </row>
    <row r="50" spans="2:15" x14ac:dyDescent="0.25">
      <c r="B50" s="850"/>
      <c r="C50" s="851"/>
      <c r="D50" s="851"/>
      <c r="E50" s="851"/>
      <c r="F50" s="851"/>
      <c r="G50" s="851"/>
      <c r="H50" s="851"/>
      <c r="I50" s="851"/>
      <c r="J50" s="851"/>
      <c r="K50" s="851"/>
      <c r="L50" s="851"/>
      <c r="M50" s="852"/>
      <c r="O50" s="41"/>
    </row>
    <row r="51" spans="2:15" x14ac:dyDescent="0.25">
      <c r="B51" s="850"/>
      <c r="C51" s="851"/>
      <c r="D51" s="851"/>
      <c r="E51" s="851"/>
      <c r="F51" s="851"/>
      <c r="G51" s="851"/>
      <c r="H51" s="851"/>
      <c r="I51" s="851"/>
      <c r="J51" s="851"/>
      <c r="K51" s="851"/>
      <c r="L51" s="851"/>
      <c r="M51" s="852"/>
      <c r="O51" s="41"/>
    </row>
    <row r="52" spans="2:15" x14ac:dyDescent="0.25">
      <c r="B52" s="850"/>
      <c r="C52" s="851"/>
      <c r="D52" s="851"/>
      <c r="E52" s="851"/>
      <c r="F52" s="851"/>
      <c r="G52" s="851"/>
      <c r="H52" s="851"/>
      <c r="I52" s="851"/>
      <c r="J52" s="851"/>
      <c r="K52" s="851"/>
      <c r="L52" s="851"/>
      <c r="M52" s="852"/>
      <c r="O52" s="41"/>
    </row>
    <row r="53" spans="2:15" x14ac:dyDescent="0.25">
      <c r="B53" s="850"/>
      <c r="C53" s="851"/>
      <c r="D53" s="851"/>
      <c r="E53" s="851"/>
      <c r="F53" s="851"/>
      <c r="G53" s="851"/>
      <c r="H53" s="851"/>
      <c r="I53" s="851"/>
      <c r="J53" s="851"/>
      <c r="K53" s="851"/>
      <c r="L53" s="851"/>
      <c r="M53" s="852"/>
      <c r="O53" s="41"/>
    </row>
    <row r="54" spans="2:15" x14ac:dyDescent="0.25">
      <c r="B54" s="850"/>
      <c r="C54" s="851"/>
      <c r="D54" s="851"/>
      <c r="E54" s="851"/>
      <c r="F54" s="851"/>
      <c r="G54" s="851"/>
      <c r="H54" s="851"/>
      <c r="I54" s="851"/>
      <c r="J54" s="851"/>
      <c r="K54" s="851"/>
      <c r="L54" s="851"/>
      <c r="M54" s="852"/>
      <c r="O54" s="41"/>
    </row>
    <row r="55" spans="2:15" x14ac:dyDescent="0.25">
      <c r="B55" s="850"/>
      <c r="C55" s="851"/>
      <c r="D55" s="851"/>
      <c r="E55" s="851"/>
      <c r="F55" s="851"/>
      <c r="G55" s="851"/>
      <c r="H55" s="851"/>
      <c r="I55" s="851"/>
      <c r="J55" s="851"/>
      <c r="K55" s="851"/>
      <c r="L55" s="851"/>
      <c r="M55" s="852"/>
      <c r="O55" s="41"/>
    </row>
    <row r="56" spans="2:15" ht="17.25" thickBot="1" x14ac:dyDescent="0.3">
      <c r="B56" s="856"/>
      <c r="C56" s="857"/>
      <c r="D56" s="857"/>
      <c r="E56" s="857"/>
      <c r="F56" s="857"/>
      <c r="G56" s="857"/>
      <c r="H56" s="857"/>
      <c r="I56" s="857"/>
      <c r="J56" s="857"/>
      <c r="K56" s="857"/>
      <c r="L56" s="857"/>
      <c r="M56" s="858"/>
      <c r="O56" s="41"/>
    </row>
    <row r="57" spans="2:15" ht="17.25" thickBot="1" x14ac:dyDescent="0.3">
      <c r="O57" s="41"/>
    </row>
    <row r="58" spans="2:15" s="32" customFormat="1" ht="18" thickBot="1" x14ac:dyDescent="0.3">
      <c r="B58" s="859" t="s">
        <v>474</v>
      </c>
      <c r="C58" s="860"/>
      <c r="D58" s="860"/>
      <c r="E58" s="860"/>
      <c r="F58" s="860"/>
      <c r="G58" s="860"/>
      <c r="H58" s="860"/>
      <c r="I58" s="860"/>
      <c r="J58" s="860"/>
      <c r="K58" s="860"/>
      <c r="L58" s="860"/>
      <c r="M58" s="861"/>
      <c r="O58" s="33"/>
    </row>
    <row r="59" spans="2:15" x14ac:dyDescent="0.25">
      <c r="B59" s="60"/>
      <c r="C59" s="40"/>
      <c r="D59" s="40"/>
      <c r="E59" s="40"/>
      <c r="F59" s="40"/>
      <c r="G59" s="40"/>
      <c r="H59" s="40"/>
      <c r="I59" s="40"/>
      <c r="J59" s="40"/>
      <c r="K59" s="40"/>
      <c r="L59" s="40"/>
      <c r="M59" s="61"/>
      <c r="O59" s="41"/>
    </row>
    <row r="60" spans="2:15" ht="17.25" x14ac:dyDescent="0.25">
      <c r="B60" s="64"/>
      <c r="C60" s="65" t="s">
        <v>386</v>
      </c>
      <c r="D60" s="862" t="s">
        <v>637</v>
      </c>
      <c r="E60" s="862"/>
      <c r="F60" s="862"/>
      <c r="G60" s="862"/>
      <c r="H60" s="331"/>
      <c r="I60" s="40"/>
      <c r="J60" s="40"/>
      <c r="K60" s="40"/>
      <c r="L60" s="40"/>
      <c r="M60" s="61"/>
      <c r="O60" s="41"/>
    </row>
    <row r="61" spans="2:15" x14ac:dyDescent="0.25">
      <c r="B61" s="60"/>
      <c r="C61" s="40"/>
      <c r="D61" s="40"/>
      <c r="E61" s="40"/>
      <c r="F61" s="40"/>
      <c r="G61" s="40"/>
      <c r="H61" s="40"/>
      <c r="I61" s="40"/>
      <c r="J61" s="40"/>
      <c r="K61" s="40"/>
      <c r="L61" s="40"/>
      <c r="M61" s="61"/>
      <c r="O61" s="41"/>
    </row>
    <row r="62" spans="2:15" x14ac:dyDescent="0.25">
      <c r="B62" s="60" t="s">
        <v>389</v>
      </c>
      <c r="C62" s="40"/>
      <c r="D62" s="40"/>
      <c r="E62" s="40"/>
      <c r="F62" s="40"/>
      <c r="G62" s="40"/>
      <c r="H62" s="40"/>
      <c r="I62" s="40"/>
      <c r="J62" s="40"/>
      <c r="K62" s="40"/>
      <c r="L62" s="40"/>
      <c r="M62" s="61"/>
      <c r="O62" s="41"/>
    </row>
    <row r="63" spans="2:15" x14ac:dyDescent="0.25">
      <c r="B63" s="60" t="s">
        <v>37</v>
      </c>
      <c r="C63" s="40"/>
      <c r="D63" s="40"/>
      <c r="E63" s="40"/>
      <c r="F63" s="40"/>
      <c r="G63" s="40"/>
      <c r="H63" s="40"/>
      <c r="I63" s="40"/>
      <c r="J63" s="40"/>
      <c r="K63" s="40"/>
      <c r="L63" s="40"/>
      <c r="M63" s="61"/>
      <c r="O63" s="41"/>
    </row>
    <row r="64" spans="2:15" x14ac:dyDescent="0.25">
      <c r="B64" s="60" t="s">
        <v>38</v>
      </c>
      <c r="C64" s="40"/>
      <c r="D64" s="40"/>
      <c r="E64" s="40"/>
      <c r="F64" s="40"/>
      <c r="G64" s="40"/>
      <c r="H64" s="40"/>
      <c r="I64" s="40"/>
      <c r="J64" s="40"/>
      <c r="K64" s="40"/>
      <c r="L64" s="40"/>
      <c r="M64" s="61"/>
      <c r="O64" s="41"/>
    </row>
    <row r="65" spans="2:15" x14ac:dyDescent="0.25">
      <c r="B65" s="847"/>
      <c r="C65" s="848"/>
      <c r="D65" s="848"/>
      <c r="E65" s="848"/>
      <c r="F65" s="848"/>
      <c r="G65" s="848"/>
      <c r="H65" s="848"/>
      <c r="I65" s="848"/>
      <c r="J65" s="848"/>
      <c r="K65" s="848"/>
      <c r="L65" s="848"/>
      <c r="M65" s="849"/>
      <c r="O65" s="41"/>
    </row>
    <row r="66" spans="2:15" x14ac:dyDescent="0.25">
      <c r="B66" s="850"/>
      <c r="C66" s="851"/>
      <c r="D66" s="851"/>
      <c r="E66" s="851"/>
      <c r="F66" s="851"/>
      <c r="G66" s="851"/>
      <c r="H66" s="851"/>
      <c r="I66" s="851"/>
      <c r="J66" s="851"/>
      <c r="K66" s="851"/>
      <c r="L66" s="851"/>
      <c r="M66" s="852"/>
      <c r="O66" s="41"/>
    </row>
    <row r="67" spans="2:15" x14ac:dyDescent="0.25">
      <c r="B67" s="850"/>
      <c r="C67" s="851"/>
      <c r="D67" s="851"/>
      <c r="E67" s="851"/>
      <c r="F67" s="851"/>
      <c r="G67" s="851"/>
      <c r="H67" s="851"/>
      <c r="I67" s="851"/>
      <c r="J67" s="851"/>
      <c r="K67" s="851"/>
      <c r="L67" s="851"/>
      <c r="M67" s="852"/>
      <c r="O67" s="41"/>
    </row>
    <row r="68" spans="2:15" x14ac:dyDescent="0.25">
      <c r="B68" s="850"/>
      <c r="C68" s="851"/>
      <c r="D68" s="851"/>
      <c r="E68" s="851"/>
      <c r="F68" s="851"/>
      <c r="G68" s="851"/>
      <c r="H68" s="851"/>
      <c r="I68" s="851"/>
      <c r="J68" s="851"/>
      <c r="K68" s="851"/>
      <c r="L68" s="851"/>
      <c r="M68" s="852"/>
      <c r="O68" s="41"/>
    </row>
    <row r="69" spans="2:15" x14ac:dyDescent="0.25">
      <c r="B69" s="850"/>
      <c r="C69" s="851"/>
      <c r="D69" s="851"/>
      <c r="E69" s="851"/>
      <c r="F69" s="851"/>
      <c r="G69" s="851"/>
      <c r="H69" s="851"/>
      <c r="I69" s="851"/>
      <c r="J69" s="851"/>
      <c r="K69" s="851"/>
      <c r="L69" s="851"/>
      <c r="M69" s="852"/>
      <c r="O69" s="41"/>
    </row>
    <row r="70" spans="2:15" x14ac:dyDescent="0.25">
      <c r="B70" s="850"/>
      <c r="C70" s="851"/>
      <c r="D70" s="851"/>
      <c r="E70" s="851"/>
      <c r="F70" s="851"/>
      <c r="G70" s="851"/>
      <c r="H70" s="851"/>
      <c r="I70" s="851"/>
      <c r="J70" s="851"/>
      <c r="K70" s="851"/>
      <c r="L70" s="851"/>
      <c r="M70" s="852"/>
      <c r="O70" s="41"/>
    </row>
    <row r="71" spans="2:15" x14ac:dyDescent="0.25">
      <c r="B71" s="850"/>
      <c r="C71" s="851"/>
      <c r="D71" s="851"/>
      <c r="E71" s="851"/>
      <c r="F71" s="851"/>
      <c r="G71" s="851"/>
      <c r="H71" s="851"/>
      <c r="I71" s="851"/>
      <c r="J71" s="851"/>
      <c r="K71" s="851"/>
      <c r="L71" s="851"/>
      <c r="M71" s="852"/>
      <c r="O71" s="41"/>
    </row>
    <row r="72" spans="2:15" x14ac:dyDescent="0.25">
      <c r="B72" s="850"/>
      <c r="C72" s="851"/>
      <c r="D72" s="851"/>
      <c r="E72" s="851"/>
      <c r="F72" s="851"/>
      <c r="G72" s="851"/>
      <c r="H72" s="851"/>
      <c r="I72" s="851"/>
      <c r="J72" s="851"/>
      <c r="K72" s="851"/>
      <c r="L72" s="851"/>
      <c r="M72" s="852"/>
      <c r="O72" s="41"/>
    </row>
    <row r="73" spans="2:15" x14ac:dyDescent="0.25">
      <c r="B73" s="850"/>
      <c r="C73" s="851"/>
      <c r="D73" s="851"/>
      <c r="E73" s="851"/>
      <c r="F73" s="851"/>
      <c r="G73" s="851"/>
      <c r="H73" s="851"/>
      <c r="I73" s="851"/>
      <c r="J73" s="851"/>
      <c r="K73" s="851"/>
      <c r="L73" s="851"/>
      <c r="M73" s="852"/>
      <c r="O73" s="41"/>
    </row>
    <row r="74" spans="2:15" x14ac:dyDescent="0.25">
      <c r="B74" s="850"/>
      <c r="C74" s="851"/>
      <c r="D74" s="851"/>
      <c r="E74" s="851"/>
      <c r="F74" s="851"/>
      <c r="G74" s="851"/>
      <c r="H74" s="851"/>
      <c r="I74" s="851"/>
      <c r="J74" s="851"/>
      <c r="K74" s="851"/>
      <c r="L74" s="851"/>
      <c r="M74" s="852"/>
      <c r="O74" s="41"/>
    </row>
    <row r="75" spans="2:15" x14ac:dyDescent="0.25">
      <c r="B75" s="853"/>
      <c r="C75" s="854"/>
      <c r="D75" s="854"/>
      <c r="E75" s="854"/>
      <c r="F75" s="854"/>
      <c r="G75" s="854"/>
      <c r="H75" s="854"/>
      <c r="I75" s="854"/>
      <c r="J75" s="854"/>
      <c r="K75" s="854"/>
      <c r="L75" s="854"/>
      <c r="M75" s="855"/>
      <c r="O75" s="41"/>
    </row>
    <row r="76" spans="2:15" x14ac:dyDescent="0.25">
      <c r="B76" s="60"/>
      <c r="C76" s="40"/>
      <c r="D76" s="40"/>
      <c r="E76" s="40"/>
      <c r="F76" s="40"/>
      <c r="G76" s="40"/>
      <c r="H76" s="40"/>
      <c r="I76" s="40"/>
      <c r="J76" s="40"/>
      <c r="K76" s="40"/>
      <c r="L76" s="40"/>
      <c r="M76" s="61"/>
      <c r="O76" s="41"/>
    </row>
    <row r="77" spans="2:15" x14ac:dyDescent="0.25">
      <c r="B77" s="60" t="s">
        <v>366</v>
      </c>
      <c r="C77" s="40"/>
      <c r="D77" s="40"/>
      <c r="E77" s="40"/>
      <c r="F77" s="40"/>
      <c r="G77" s="40"/>
      <c r="H77" s="40"/>
      <c r="I77" s="40"/>
      <c r="J77" s="40"/>
      <c r="K77" s="40"/>
      <c r="L77" s="40"/>
      <c r="M77" s="61"/>
      <c r="O77" s="41"/>
    </row>
    <row r="78" spans="2:15" x14ac:dyDescent="0.25">
      <c r="B78" s="847"/>
      <c r="C78" s="848"/>
      <c r="D78" s="848"/>
      <c r="E78" s="848"/>
      <c r="F78" s="848"/>
      <c r="G78" s="848"/>
      <c r="H78" s="848"/>
      <c r="I78" s="848"/>
      <c r="J78" s="848"/>
      <c r="K78" s="848"/>
      <c r="L78" s="848"/>
      <c r="M78" s="849"/>
      <c r="O78" s="41"/>
    </row>
    <row r="79" spans="2:15" x14ac:dyDescent="0.25">
      <c r="B79" s="850"/>
      <c r="C79" s="851"/>
      <c r="D79" s="851"/>
      <c r="E79" s="851"/>
      <c r="F79" s="851"/>
      <c r="G79" s="851"/>
      <c r="H79" s="851"/>
      <c r="I79" s="851"/>
      <c r="J79" s="851"/>
      <c r="K79" s="851"/>
      <c r="L79" s="851"/>
      <c r="M79" s="852"/>
      <c r="O79" s="41"/>
    </row>
    <row r="80" spans="2:15" x14ac:dyDescent="0.25">
      <c r="B80" s="850"/>
      <c r="C80" s="851"/>
      <c r="D80" s="851"/>
      <c r="E80" s="851"/>
      <c r="F80" s="851"/>
      <c r="G80" s="851"/>
      <c r="H80" s="851"/>
      <c r="I80" s="851"/>
      <c r="J80" s="851"/>
      <c r="K80" s="851"/>
      <c r="L80" s="851"/>
      <c r="M80" s="852"/>
      <c r="O80" s="41"/>
    </row>
    <row r="81" spans="2:15" x14ac:dyDescent="0.25">
      <c r="B81" s="850"/>
      <c r="C81" s="851"/>
      <c r="D81" s="851"/>
      <c r="E81" s="851"/>
      <c r="F81" s="851"/>
      <c r="G81" s="851"/>
      <c r="H81" s="851"/>
      <c r="I81" s="851"/>
      <c r="J81" s="851"/>
      <c r="K81" s="851"/>
      <c r="L81" s="851"/>
      <c r="M81" s="852"/>
      <c r="O81" s="41"/>
    </row>
    <row r="82" spans="2:15" x14ac:dyDescent="0.25">
      <c r="B82" s="850"/>
      <c r="C82" s="851"/>
      <c r="D82" s="851"/>
      <c r="E82" s="851"/>
      <c r="F82" s="851"/>
      <c r="G82" s="851"/>
      <c r="H82" s="851"/>
      <c r="I82" s="851"/>
      <c r="J82" s="851"/>
      <c r="K82" s="851"/>
      <c r="L82" s="851"/>
      <c r="M82" s="852"/>
      <c r="O82" s="41"/>
    </row>
    <row r="83" spans="2:15" x14ac:dyDescent="0.25">
      <c r="B83" s="850"/>
      <c r="C83" s="851"/>
      <c r="D83" s="851"/>
      <c r="E83" s="851"/>
      <c r="F83" s="851"/>
      <c r="G83" s="851"/>
      <c r="H83" s="851"/>
      <c r="I83" s="851"/>
      <c r="J83" s="851"/>
      <c r="K83" s="851"/>
      <c r="L83" s="851"/>
      <c r="M83" s="852"/>
      <c r="O83" s="41"/>
    </row>
    <row r="84" spans="2:15" x14ac:dyDescent="0.25">
      <c r="B84" s="850"/>
      <c r="C84" s="851"/>
      <c r="D84" s="851"/>
      <c r="E84" s="851"/>
      <c r="F84" s="851"/>
      <c r="G84" s="851"/>
      <c r="H84" s="851"/>
      <c r="I84" s="851"/>
      <c r="J84" s="851"/>
      <c r="K84" s="851"/>
      <c r="L84" s="851"/>
      <c r="M84" s="852"/>
      <c r="O84" s="41"/>
    </row>
    <row r="85" spans="2:15" x14ac:dyDescent="0.25">
      <c r="B85" s="850"/>
      <c r="C85" s="851"/>
      <c r="D85" s="851"/>
      <c r="E85" s="851"/>
      <c r="F85" s="851"/>
      <c r="G85" s="851"/>
      <c r="H85" s="851"/>
      <c r="I85" s="851"/>
      <c r="J85" s="851"/>
      <c r="K85" s="851"/>
      <c r="L85" s="851"/>
      <c r="M85" s="852"/>
      <c r="O85" s="41"/>
    </row>
    <row r="86" spans="2:15" x14ac:dyDescent="0.25">
      <c r="B86" s="850"/>
      <c r="C86" s="851"/>
      <c r="D86" s="851"/>
      <c r="E86" s="851"/>
      <c r="F86" s="851"/>
      <c r="G86" s="851"/>
      <c r="H86" s="851"/>
      <c r="I86" s="851"/>
      <c r="J86" s="851"/>
      <c r="K86" s="851"/>
      <c r="L86" s="851"/>
      <c r="M86" s="852"/>
      <c r="O86" s="41"/>
    </row>
    <row r="87" spans="2:15" x14ac:dyDescent="0.25">
      <c r="B87" s="850"/>
      <c r="C87" s="851"/>
      <c r="D87" s="851"/>
      <c r="E87" s="851"/>
      <c r="F87" s="851"/>
      <c r="G87" s="851"/>
      <c r="H87" s="851"/>
      <c r="I87" s="851"/>
      <c r="J87" s="851"/>
      <c r="K87" s="851"/>
      <c r="L87" s="851"/>
      <c r="M87" s="852"/>
      <c r="O87" s="41"/>
    </row>
    <row r="88" spans="2:15" x14ac:dyDescent="0.25">
      <c r="B88" s="850"/>
      <c r="C88" s="851"/>
      <c r="D88" s="851"/>
      <c r="E88" s="851"/>
      <c r="F88" s="851"/>
      <c r="G88" s="851"/>
      <c r="H88" s="851"/>
      <c r="I88" s="851"/>
      <c r="J88" s="851"/>
      <c r="K88" s="851"/>
      <c r="L88" s="851"/>
      <c r="M88" s="852"/>
      <c r="O88" s="41"/>
    </row>
    <row r="89" spans="2:15" x14ac:dyDescent="0.25">
      <c r="B89" s="853"/>
      <c r="C89" s="854"/>
      <c r="D89" s="854"/>
      <c r="E89" s="854"/>
      <c r="F89" s="854"/>
      <c r="G89" s="854"/>
      <c r="H89" s="854"/>
      <c r="I89" s="854"/>
      <c r="J89" s="854"/>
      <c r="K89" s="854"/>
      <c r="L89" s="854"/>
      <c r="M89" s="855"/>
      <c r="O89" s="41"/>
    </row>
    <row r="90" spans="2:15" x14ac:dyDescent="0.25">
      <c r="B90" s="60"/>
      <c r="C90" s="40"/>
      <c r="D90" s="40"/>
      <c r="E90" s="40"/>
      <c r="F90" s="40"/>
      <c r="G90" s="40"/>
      <c r="H90" s="40"/>
      <c r="I90" s="40"/>
      <c r="J90" s="40"/>
      <c r="K90" s="40"/>
      <c r="L90" s="40"/>
      <c r="M90" s="61"/>
      <c r="O90" s="41"/>
    </row>
    <row r="91" spans="2:15" x14ac:dyDescent="0.25">
      <c r="B91" s="60" t="s">
        <v>39</v>
      </c>
      <c r="C91" s="40"/>
      <c r="D91" s="40"/>
      <c r="E91" s="40"/>
      <c r="F91" s="40"/>
      <c r="G91" s="40"/>
      <c r="H91" s="40"/>
      <c r="I91" s="40"/>
      <c r="J91" s="40"/>
      <c r="K91" s="40"/>
      <c r="L91" s="40"/>
      <c r="M91" s="61"/>
      <c r="O91" s="41"/>
    </row>
    <row r="92" spans="2:15" x14ac:dyDescent="0.25">
      <c r="B92" s="847"/>
      <c r="C92" s="848"/>
      <c r="D92" s="848"/>
      <c r="E92" s="848"/>
      <c r="F92" s="848"/>
      <c r="G92" s="848"/>
      <c r="H92" s="848"/>
      <c r="I92" s="848"/>
      <c r="J92" s="848"/>
      <c r="K92" s="848"/>
      <c r="L92" s="848"/>
      <c r="M92" s="849"/>
      <c r="O92" s="41"/>
    </row>
    <row r="93" spans="2:15" x14ac:dyDescent="0.25">
      <c r="B93" s="850"/>
      <c r="C93" s="851"/>
      <c r="D93" s="851"/>
      <c r="E93" s="851"/>
      <c r="F93" s="851"/>
      <c r="G93" s="851"/>
      <c r="H93" s="851"/>
      <c r="I93" s="851"/>
      <c r="J93" s="851"/>
      <c r="K93" s="851"/>
      <c r="L93" s="851"/>
      <c r="M93" s="852"/>
      <c r="O93" s="41"/>
    </row>
    <row r="94" spans="2:15" x14ac:dyDescent="0.25">
      <c r="B94" s="850"/>
      <c r="C94" s="851"/>
      <c r="D94" s="851"/>
      <c r="E94" s="851"/>
      <c r="F94" s="851"/>
      <c r="G94" s="851"/>
      <c r="H94" s="851"/>
      <c r="I94" s="851"/>
      <c r="J94" s="851"/>
      <c r="K94" s="851"/>
      <c r="L94" s="851"/>
      <c r="M94" s="852"/>
      <c r="O94" s="41"/>
    </row>
    <row r="95" spans="2:15" x14ac:dyDescent="0.25">
      <c r="B95" s="850"/>
      <c r="C95" s="851"/>
      <c r="D95" s="851"/>
      <c r="E95" s="851"/>
      <c r="F95" s="851"/>
      <c r="G95" s="851"/>
      <c r="H95" s="851"/>
      <c r="I95" s="851"/>
      <c r="J95" s="851"/>
      <c r="K95" s="851"/>
      <c r="L95" s="851"/>
      <c r="M95" s="852"/>
      <c r="O95" s="41"/>
    </row>
    <row r="96" spans="2:15" x14ac:dyDescent="0.25">
      <c r="B96" s="850"/>
      <c r="C96" s="851"/>
      <c r="D96" s="851"/>
      <c r="E96" s="851"/>
      <c r="F96" s="851"/>
      <c r="G96" s="851"/>
      <c r="H96" s="851"/>
      <c r="I96" s="851"/>
      <c r="J96" s="851"/>
      <c r="K96" s="851"/>
      <c r="L96" s="851"/>
      <c r="M96" s="852"/>
      <c r="O96" s="41"/>
    </row>
    <row r="97" spans="1:15" x14ac:dyDescent="0.25">
      <c r="B97" s="850"/>
      <c r="C97" s="851"/>
      <c r="D97" s="851"/>
      <c r="E97" s="851"/>
      <c r="F97" s="851"/>
      <c r="G97" s="851"/>
      <c r="H97" s="851"/>
      <c r="I97" s="851"/>
      <c r="J97" s="851"/>
      <c r="K97" s="851"/>
      <c r="L97" s="851"/>
      <c r="M97" s="852"/>
      <c r="O97" s="41"/>
    </row>
    <row r="98" spans="1:15" x14ac:dyDescent="0.25">
      <c r="B98" s="850"/>
      <c r="C98" s="851"/>
      <c r="D98" s="851"/>
      <c r="E98" s="851"/>
      <c r="F98" s="851"/>
      <c r="G98" s="851"/>
      <c r="H98" s="851"/>
      <c r="I98" s="851"/>
      <c r="J98" s="851"/>
      <c r="K98" s="851"/>
      <c r="L98" s="851"/>
      <c r="M98" s="852"/>
      <c r="O98" s="41"/>
    </row>
    <row r="99" spans="1:15" x14ac:dyDescent="0.25">
      <c r="B99" s="850"/>
      <c r="C99" s="851"/>
      <c r="D99" s="851"/>
      <c r="E99" s="851"/>
      <c r="F99" s="851"/>
      <c r="G99" s="851"/>
      <c r="H99" s="851"/>
      <c r="I99" s="851"/>
      <c r="J99" s="851"/>
      <c r="K99" s="851"/>
      <c r="L99" s="851"/>
      <c r="M99" s="852"/>
      <c r="O99" s="41"/>
    </row>
    <row r="100" spans="1:15" x14ac:dyDescent="0.25">
      <c r="B100" s="850"/>
      <c r="C100" s="851"/>
      <c r="D100" s="851"/>
      <c r="E100" s="851"/>
      <c r="F100" s="851"/>
      <c r="G100" s="851"/>
      <c r="H100" s="851"/>
      <c r="I100" s="851"/>
      <c r="J100" s="851"/>
      <c r="K100" s="851"/>
      <c r="L100" s="851"/>
      <c r="M100" s="852"/>
      <c r="O100" s="41"/>
    </row>
    <row r="101" spans="1:15" x14ac:dyDescent="0.25">
      <c r="B101" s="850"/>
      <c r="C101" s="851"/>
      <c r="D101" s="851"/>
      <c r="E101" s="851"/>
      <c r="F101" s="851"/>
      <c r="G101" s="851"/>
      <c r="H101" s="851"/>
      <c r="I101" s="851"/>
      <c r="J101" s="851"/>
      <c r="K101" s="851"/>
      <c r="L101" s="851"/>
      <c r="M101" s="852"/>
      <c r="O101" s="41"/>
    </row>
    <row r="102" spans="1:15" x14ac:dyDescent="0.25">
      <c r="B102" s="850"/>
      <c r="C102" s="851"/>
      <c r="D102" s="851"/>
      <c r="E102" s="851"/>
      <c r="F102" s="851"/>
      <c r="G102" s="851"/>
      <c r="H102" s="851"/>
      <c r="I102" s="851"/>
      <c r="J102" s="851"/>
      <c r="K102" s="851"/>
      <c r="L102" s="851"/>
      <c r="M102" s="852"/>
      <c r="O102" s="41"/>
    </row>
    <row r="103" spans="1:15" x14ac:dyDescent="0.25">
      <c r="B103" s="850"/>
      <c r="C103" s="851"/>
      <c r="D103" s="851"/>
      <c r="E103" s="851"/>
      <c r="F103" s="851"/>
      <c r="G103" s="851"/>
      <c r="H103" s="851"/>
      <c r="I103" s="851"/>
      <c r="J103" s="851"/>
      <c r="K103" s="851"/>
      <c r="L103" s="851"/>
      <c r="M103" s="852"/>
      <c r="O103" s="41"/>
    </row>
    <row r="104" spans="1:15" x14ac:dyDescent="0.25">
      <c r="B104" s="850"/>
      <c r="C104" s="851"/>
      <c r="D104" s="851"/>
      <c r="E104" s="851"/>
      <c r="F104" s="851"/>
      <c r="G104" s="851"/>
      <c r="H104" s="851"/>
      <c r="I104" s="851"/>
      <c r="J104" s="851"/>
      <c r="K104" s="851"/>
      <c r="L104" s="851"/>
      <c r="M104" s="852"/>
      <c r="O104" s="41"/>
    </row>
    <row r="105" spans="1:15" ht="17.25" thickBot="1" x14ac:dyDescent="0.3">
      <c r="B105" s="856"/>
      <c r="C105" s="857"/>
      <c r="D105" s="857"/>
      <c r="E105" s="857"/>
      <c r="F105" s="857"/>
      <c r="G105" s="857"/>
      <c r="H105" s="857"/>
      <c r="I105" s="857"/>
      <c r="J105" s="857"/>
      <c r="K105" s="857"/>
      <c r="L105" s="857"/>
      <c r="M105" s="858"/>
      <c r="O105" s="41"/>
    </row>
    <row r="106" spans="1:15" x14ac:dyDescent="0.25">
      <c r="O106" s="41"/>
    </row>
    <row r="107" spans="1:15" s="54" customFormat="1" x14ac:dyDescent="0.25">
      <c r="A107" s="41"/>
      <c r="B107" s="41"/>
      <c r="C107" s="41"/>
      <c r="D107" s="41"/>
      <c r="E107" s="41"/>
      <c r="F107" s="41"/>
      <c r="G107" s="41"/>
      <c r="H107" s="41"/>
      <c r="I107" s="41"/>
      <c r="J107" s="41"/>
      <c r="K107" s="41"/>
      <c r="L107" s="41"/>
      <c r="M107" s="41"/>
      <c r="N107" s="41"/>
      <c r="O107" s="41"/>
    </row>
  </sheetData>
  <sheetProtection password="CA08" sheet="1" objects="1" scenarios="1" selectLockedCells="1"/>
  <customSheetViews>
    <customSheetView guid="{2A4C6EB9-430A-44F2-86C8-15B50360FC3B}" scale="80" showGridLines="0" topLeftCell="A57">
      <selection activeCell="B71" sqref="B71"/>
      <pageMargins left="0.7" right="0.7" top="0.75" bottom="0.75" header="0.3" footer="0.3"/>
      <pageSetup orientation="portrait" horizontalDpi="200" verticalDpi="200" r:id="rId1"/>
    </customSheetView>
    <customSheetView guid="{B3BD5AF3-9A64-4EA7-AE1F-3CC326849B8F}" scale="80" showGridLines="0">
      <selection activeCell="B12" sqref="B12"/>
      <pageMargins left="0.7" right="0.7" top="0.75" bottom="0.75" header="0.3" footer="0.3"/>
      <pageSetup orientation="portrait" horizontalDpi="200" verticalDpi="200" r:id="rId2"/>
    </customSheetView>
  </customSheetViews>
  <mergeCells count="14">
    <mergeCell ref="E3:F3"/>
    <mergeCell ref="B11:M11"/>
    <mergeCell ref="B2:C2"/>
    <mergeCell ref="B18:M18"/>
    <mergeCell ref="B58:M58"/>
    <mergeCell ref="B65:M75"/>
    <mergeCell ref="B78:M89"/>
    <mergeCell ref="B92:M105"/>
    <mergeCell ref="C20:M23"/>
    <mergeCell ref="C13:M16"/>
    <mergeCell ref="B26:M56"/>
    <mergeCell ref="B13:B16"/>
    <mergeCell ref="B20:B23"/>
    <mergeCell ref="D60:G60"/>
  </mergeCells>
  <phoneticPr fontId="26" type="noConversion"/>
  <dataValidations count="1">
    <dataValidation type="list" showInputMessage="1" showErrorMessage="1" sqref="C19 C12" xr:uid="{00000000-0002-0000-0300-000000000000}">
      <formula1>Yes_No</formula1>
    </dataValidation>
  </dataValidations>
  <hyperlinks>
    <hyperlink ref="D60" location="Photos!B128" display="the 'Photos' tab (Photo Box #8 through #10)" xr:uid="{00000000-0004-0000-0300-000000000000}"/>
    <hyperlink ref="E3" location="Instructions!A1" display="Back to Instructions" xr:uid="{00000000-0004-0000-0300-000001000000}"/>
    <hyperlink ref="E3:F3" location="Instructions!A1" display="Back to Instructions tab" xr:uid="{00000000-0004-0000-0300-000002000000}"/>
    <hyperlink ref="D60:G60" location="Photos!B132" display="the 'Photos' tab (Photo Box #9 through #11)" xr:uid="{00000000-0004-0000-0300-000003000000}"/>
  </hyperlinks>
  <pageMargins left="0.7" right="0.7" top="0.75" bottom="0.75" header="0.3" footer="0.3"/>
  <pageSetup orientation="portrait" horizontalDpi="200" verticalDpi="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AC179"/>
  <sheetViews>
    <sheetView showGridLines="0" zoomScale="60" zoomScaleNormal="60" workbookViewId="0">
      <selection activeCell="E2" sqref="E2:F2"/>
    </sheetView>
  </sheetViews>
  <sheetFormatPr defaultColWidth="9.140625" defaultRowHeight="16.5" x14ac:dyDescent="0.25"/>
  <cols>
    <col min="1" max="1" width="5.5703125" style="239" customWidth="1"/>
    <col min="2" max="2" width="32.7109375" style="239" customWidth="1"/>
    <col min="3" max="3" width="71.42578125" style="239" customWidth="1"/>
    <col min="4" max="4" width="6.85546875" style="239" customWidth="1"/>
    <col min="5" max="5" width="9.140625" style="239"/>
    <col min="6" max="6" width="56.140625" style="239" customWidth="1"/>
    <col min="7" max="7" width="34.28515625" style="239" customWidth="1"/>
    <col min="8" max="8" width="14.28515625" style="239" customWidth="1"/>
    <col min="9" max="9" width="12.28515625" style="239" customWidth="1"/>
    <col min="10" max="10" width="11.85546875" style="243" customWidth="1"/>
    <col min="11" max="28" width="9.140625" style="239"/>
    <col min="29" max="29" width="4.140625" style="239" customWidth="1"/>
    <col min="30" max="16384" width="9.140625" style="239"/>
  </cols>
  <sheetData>
    <row r="1" spans="1:29" ht="17.25" thickBot="1" x14ac:dyDescent="0.3">
      <c r="J1" s="123"/>
      <c r="AC1" s="242"/>
    </row>
    <row r="2" spans="1:29" ht="18" thickBot="1" x14ac:dyDescent="0.3">
      <c r="A2" s="234"/>
      <c r="B2" s="805" t="s">
        <v>622</v>
      </c>
      <c r="C2" s="806"/>
      <c r="E2" s="840" t="s">
        <v>553</v>
      </c>
      <c r="F2" s="840"/>
      <c r="AC2" s="242"/>
    </row>
    <row r="3" spans="1:29" x14ac:dyDescent="0.25">
      <c r="A3" s="234"/>
      <c r="B3" s="365" t="s">
        <v>623</v>
      </c>
      <c r="C3" s="366" t="str">
        <f>'Version Control'!C3</f>
        <v>Commercial Air Conditioner and Heat Pump</v>
      </c>
      <c r="AC3" s="242"/>
    </row>
    <row r="4" spans="1:29" x14ac:dyDescent="0.25">
      <c r="A4" s="234"/>
      <c r="B4" s="367" t="s">
        <v>142</v>
      </c>
      <c r="C4" s="368" t="str">
        <f>'Version Control'!C4</f>
        <v>v2.2</v>
      </c>
      <c r="AC4" s="242"/>
    </row>
    <row r="5" spans="1:29" x14ac:dyDescent="0.25">
      <c r="A5" s="234"/>
      <c r="B5" s="367" t="s">
        <v>475</v>
      </c>
      <c r="C5" s="369">
        <f>'Version Control'!C5</f>
        <v>43353</v>
      </c>
      <c r="E5" s="797"/>
      <c r="AC5" s="242"/>
    </row>
    <row r="6" spans="1:29" x14ac:dyDescent="0.25">
      <c r="A6" s="234"/>
      <c r="B6" s="370" t="s">
        <v>141</v>
      </c>
      <c r="C6" s="371" t="str">
        <f ca="1">MID(CELL("filename",$A$1), FIND("]", CELL("filename", $A$1))+ 1, 255)</f>
        <v>Photos</v>
      </c>
      <c r="AC6" s="242"/>
    </row>
    <row r="7" spans="1:29" x14ac:dyDescent="0.25">
      <c r="A7" s="234"/>
      <c r="B7" s="361" t="s">
        <v>140</v>
      </c>
      <c r="C7" s="362" t="str">
        <f ca="1">'Version Control'!C7</f>
        <v>Commercial Air Conditioner and Heat Pump - v2.2.xlsx</v>
      </c>
      <c r="AC7" s="242"/>
    </row>
    <row r="8" spans="1:29" ht="17.25" thickBot="1" x14ac:dyDescent="0.3">
      <c r="A8" s="234"/>
      <c r="B8" s="372" t="s">
        <v>143</v>
      </c>
      <c r="C8" s="373" t="str">
        <f>'Version Control'!C8</f>
        <v>[MM/DD/YYYY]</v>
      </c>
      <c r="AC8" s="242"/>
    </row>
    <row r="9" spans="1:29" x14ac:dyDescent="0.25">
      <c r="A9" s="234"/>
      <c r="B9" s="98"/>
      <c r="C9" s="230"/>
      <c r="AC9" s="242"/>
    </row>
    <row r="10" spans="1:29" x14ac:dyDescent="0.25">
      <c r="AC10" s="242"/>
    </row>
    <row r="11" spans="1:29" ht="20.25" x14ac:dyDescent="0.25">
      <c r="B11" s="244" t="s">
        <v>384</v>
      </c>
      <c r="C11" s="245"/>
      <c r="AC11" s="242"/>
    </row>
    <row r="12" spans="1:29" ht="17.25" thickBot="1" x14ac:dyDescent="0.3">
      <c r="AC12" s="242"/>
    </row>
    <row r="13" spans="1:29" s="32" customFormat="1" ht="18" thickBot="1" x14ac:dyDescent="0.3">
      <c r="B13" s="859" t="s">
        <v>390</v>
      </c>
      <c r="C13" s="860"/>
      <c r="D13" s="860"/>
      <c r="E13" s="860"/>
      <c r="F13" s="860"/>
      <c r="G13" s="860"/>
      <c r="H13" s="860"/>
      <c r="I13" s="860"/>
      <c r="J13" s="860"/>
      <c r="K13" s="860"/>
      <c r="L13" s="860"/>
      <c r="M13" s="860"/>
      <c r="N13" s="860"/>
      <c r="O13" s="860"/>
      <c r="P13" s="860"/>
      <c r="Q13" s="860"/>
      <c r="R13" s="860"/>
      <c r="S13" s="860"/>
      <c r="T13" s="860"/>
      <c r="U13" s="860"/>
      <c r="V13" s="860"/>
      <c r="W13" s="860"/>
      <c r="X13" s="860"/>
      <c r="Y13" s="860"/>
      <c r="Z13" s="860"/>
      <c r="AA13" s="861"/>
      <c r="AC13" s="224"/>
    </row>
    <row r="14" spans="1:29" x14ac:dyDescent="0.25">
      <c r="B14" s="871"/>
      <c r="C14" s="872"/>
      <c r="D14" s="872"/>
      <c r="E14" s="872"/>
      <c r="F14" s="872"/>
      <c r="G14" s="872"/>
      <c r="H14" s="872"/>
      <c r="I14" s="872"/>
      <c r="J14" s="872"/>
      <c r="K14" s="872"/>
      <c r="L14" s="872"/>
      <c r="M14" s="872"/>
      <c r="N14" s="872"/>
      <c r="O14" s="872"/>
      <c r="P14" s="872"/>
      <c r="Q14" s="872"/>
      <c r="R14" s="872"/>
      <c r="S14" s="872"/>
      <c r="T14" s="872"/>
      <c r="U14" s="872"/>
      <c r="V14" s="872"/>
      <c r="W14" s="872"/>
      <c r="X14" s="872"/>
      <c r="Y14" s="872"/>
      <c r="Z14" s="872"/>
      <c r="AA14" s="873"/>
      <c r="AC14" s="242"/>
    </row>
    <row r="15" spans="1:29" x14ac:dyDescent="0.25">
      <c r="B15" s="874"/>
      <c r="C15" s="875"/>
      <c r="D15" s="875"/>
      <c r="E15" s="875"/>
      <c r="F15" s="875"/>
      <c r="G15" s="875"/>
      <c r="H15" s="875"/>
      <c r="I15" s="875"/>
      <c r="J15" s="875"/>
      <c r="K15" s="875"/>
      <c r="L15" s="875"/>
      <c r="M15" s="875"/>
      <c r="N15" s="875"/>
      <c r="O15" s="875"/>
      <c r="P15" s="875"/>
      <c r="Q15" s="875"/>
      <c r="R15" s="875"/>
      <c r="S15" s="875"/>
      <c r="T15" s="875"/>
      <c r="U15" s="875"/>
      <c r="V15" s="875"/>
      <c r="W15" s="875"/>
      <c r="X15" s="875"/>
      <c r="Y15" s="875"/>
      <c r="Z15" s="875"/>
      <c r="AA15" s="876"/>
      <c r="AC15" s="242"/>
    </row>
    <row r="16" spans="1:29" x14ac:dyDescent="0.25">
      <c r="B16" s="874"/>
      <c r="C16" s="875"/>
      <c r="D16" s="875"/>
      <c r="E16" s="875"/>
      <c r="F16" s="875"/>
      <c r="G16" s="875"/>
      <c r="H16" s="875"/>
      <c r="I16" s="875"/>
      <c r="J16" s="875"/>
      <c r="K16" s="875"/>
      <c r="L16" s="875"/>
      <c r="M16" s="875"/>
      <c r="N16" s="875"/>
      <c r="O16" s="875"/>
      <c r="P16" s="875"/>
      <c r="Q16" s="875"/>
      <c r="R16" s="875"/>
      <c r="S16" s="875"/>
      <c r="T16" s="875"/>
      <c r="U16" s="875"/>
      <c r="V16" s="875"/>
      <c r="W16" s="875"/>
      <c r="X16" s="875"/>
      <c r="Y16" s="875"/>
      <c r="Z16" s="875"/>
      <c r="AA16" s="876"/>
      <c r="AC16" s="242"/>
    </row>
    <row r="17" spans="2:29" x14ac:dyDescent="0.25">
      <c r="B17" s="874"/>
      <c r="C17" s="875"/>
      <c r="D17" s="875"/>
      <c r="E17" s="875"/>
      <c r="F17" s="875"/>
      <c r="G17" s="875"/>
      <c r="H17" s="875"/>
      <c r="I17" s="875"/>
      <c r="J17" s="875"/>
      <c r="K17" s="875"/>
      <c r="L17" s="875"/>
      <c r="M17" s="875"/>
      <c r="N17" s="875"/>
      <c r="O17" s="875"/>
      <c r="P17" s="875"/>
      <c r="Q17" s="875"/>
      <c r="R17" s="875"/>
      <c r="S17" s="875"/>
      <c r="T17" s="875"/>
      <c r="U17" s="875"/>
      <c r="V17" s="875"/>
      <c r="W17" s="875"/>
      <c r="X17" s="875"/>
      <c r="Y17" s="875"/>
      <c r="Z17" s="875"/>
      <c r="AA17" s="876"/>
      <c r="AC17" s="242"/>
    </row>
    <row r="18" spans="2:29" x14ac:dyDescent="0.25">
      <c r="B18" s="874"/>
      <c r="C18" s="875"/>
      <c r="D18" s="875"/>
      <c r="E18" s="875"/>
      <c r="F18" s="875"/>
      <c r="G18" s="875"/>
      <c r="H18" s="875"/>
      <c r="I18" s="875"/>
      <c r="J18" s="875"/>
      <c r="K18" s="875"/>
      <c r="L18" s="875"/>
      <c r="M18" s="875"/>
      <c r="N18" s="875"/>
      <c r="O18" s="875"/>
      <c r="P18" s="875"/>
      <c r="Q18" s="875"/>
      <c r="R18" s="875"/>
      <c r="S18" s="875"/>
      <c r="T18" s="875"/>
      <c r="U18" s="875"/>
      <c r="V18" s="875"/>
      <c r="W18" s="875"/>
      <c r="X18" s="875"/>
      <c r="Y18" s="875"/>
      <c r="Z18" s="875"/>
      <c r="AA18" s="876"/>
      <c r="AC18" s="242"/>
    </row>
    <row r="19" spans="2:29" x14ac:dyDescent="0.25">
      <c r="B19" s="874"/>
      <c r="C19" s="875"/>
      <c r="D19" s="875"/>
      <c r="E19" s="875"/>
      <c r="F19" s="875"/>
      <c r="G19" s="875"/>
      <c r="H19" s="875"/>
      <c r="I19" s="875"/>
      <c r="J19" s="875"/>
      <c r="K19" s="875"/>
      <c r="L19" s="875"/>
      <c r="M19" s="875"/>
      <c r="N19" s="875"/>
      <c r="O19" s="875"/>
      <c r="P19" s="875"/>
      <c r="Q19" s="875"/>
      <c r="R19" s="875"/>
      <c r="S19" s="875"/>
      <c r="T19" s="875"/>
      <c r="U19" s="875"/>
      <c r="V19" s="875"/>
      <c r="W19" s="875"/>
      <c r="X19" s="875"/>
      <c r="Y19" s="875"/>
      <c r="Z19" s="875"/>
      <c r="AA19" s="876"/>
      <c r="AC19" s="242"/>
    </row>
    <row r="20" spans="2:29" x14ac:dyDescent="0.25">
      <c r="B20" s="874"/>
      <c r="C20" s="875"/>
      <c r="D20" s="875"/>
      <c r="E20" s="875"/>
      <c r="F20" s="875"/>
      <c r="G20" s="875"/>
      <c r="H20" s="875"/>
      <c r="I20" s="875"/>
      <c r="J20" s="875"/>
      <c r="K20" s="875"/>
      <c r="L20" s="875"/>
      <c r="M20" s="875"/>
      <c r="N20" s="875"/>
      <c r="O20" s="875"/>
      <c r="P20" s="875"/>
      <c r="Q20" s="875"/>
      <c r="R20" s="875"/>
      <c r="S20" s="875"/>
      <c r="T20" s="875"/>
      <c r="U20" s="875"/>
      <c r="V20" s="875"/>
      <c r="W20" s="875"/>
      <c r="X20" s="875"/>
      <c r="Y20" s="875"/>
      <c r="Z20" s="875"/>
      <c r="AA20" s="876"/>
      <c r="AC20" s="242"/>
    </row>
    <row r="21" spans="2:29" x14ac:dyDescent="0.25">
      <c r="B21" s="874"/>
      <c r="C21" s="875"/>
      <c r="D21" s="875"/>
      <c r="E21" s="875"/>
      <c r="F21" s="875"/>
      <c r="G21" s="875"/>
      <c r="H21" s="875"/>
      <c r="I21" s="875"/>
      <c r="J21" s="875"/>
      <c r="K21" s="875"/>
      <c r="L21" s="875"/>
      <c r="M21" s="875"/>
      <c r="N21" s="875"/>
      <c r="O21" s="875"/>
      <c r="P21" s="875"/>
      <c r="Q21" s="875"/>
      <c r="R21" s="875"/>
      <c r="S21" s="875"/>
      <c r="T21" s="875"/>
      <c r="U21" s="875"/>
      <c r="V21" s="875"/>
      <c r="W21" s="875"/>
      <c r="X21" s="875"/>
      <c r="Y21" s="875"/>
      <c r="Z21" s="875"/>
      <c r="AA21" s="876"/>
      <c r="AC21" s="242"/>
    </row>
    <row r="22" spans="2:29" x14ac:dyDescent="0.25">
      <c r="B22" s="874"/>
      <c r="C22" s="875"/>
      <c r="D22" s="875"/>
      <c r="E22" s="875"/>
      <c r="F22" s="875"/>
      <c r="G22" s="875"/>
      <c r="H22" s="875"/>
      <c r="I22" s="875"/>
      <c r="J22" s="875"/>
      <c r="K22" s="875"/>
      <c r="L22" s="875"/>
      <c r="M22" s="875"/>
      <c r="N22" s="875"/>
      <c r="O22" s="875"/>
      <c r="P22" s="875"/>
      <c r="Q22" s="875"/>
      <c r="R22" s="875"/>
      <c r="S22" s="875"/>
      <c r="T22" s="875"/>
      <c r="U22" s="875"/>
      <c r="V22" s="875"/>
      <c r="W22" s="875"/>
      <c r="X22" s="875"/>
      <c r="Y22" s="875"/>
      <c r="Z22" s="875"/>
      <c r="AA22" s="876"/>
      <c r="AC22" s="242"/>
    </row>
    <row r="23" spans="2:29" x14ac:dyDescent="0.25">
      <c r="B23" s="874"/>
      <c r="C23" s="875"/>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6"/>
      <c r="AC23" s="242"/>
    </row>
    <row r="24" spans="2:29" x14ac:dyDescent="0.25">
      <c r="B24" s="874"/>
      <c r="C24" s="875"/>
      <c r="D24" s="875"/>
      <c r="E24" s="875"/>
      <c r="F24" s="875"/>
      <c r="G24" s="875"/>
      <c r="H24" s="875"/>
      <c r="I24" s="875"/>
      <c r="J24" s="875"/>
      <c r="K24" s="875"/>
      <c r="L24" s="875"/>
      <c r="M24" s="875"/>
      <c r="N24" s="875"/>
      <c r="O24" s="875"/>
      <c r="P24" s="875"/>
      <c r="Q24" s="875"/>
      <c r="R24" s="875"/>
      <c r="S24" s="875"/>
      <c r="T24" s="875"/>
      <c r="U24" s="875"/>
      <c r="V24" s="875"/>
      <c r="W24" s="875"/>
      <c r="X24" s="875"/>
      <c r="Y24" s="875"/>
      <c r="Z24" s="875"/>
      <c r="AA24" s="876"/>
      <c r="AC24" s="242"/>
    </row>
    <row r="25" spans="2:29" x14ac:dyDescent="0.25">
      <c r="B25" s="874"/>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6"/>
      <c r="AC25" s="242"/>
    </row>
    <row r="26" spans="2:29" x14ac:dyDescent="0.25">
      <c r="B26" s="874"/>
      <c r="C26" s="875"/>
      <c r="D26" s="875"/>
      <c r="E26" s="875"/>
      <c r="F26" s="875"/>
      <c r="G26" s="875"/>
      <c r="H26" s="875"/>
      <c r="I26" s="875"/>
      <c r="J26" s="875"/>
      <c r="K26" s="875"/>
      <c r="L26" s="875"/>
      <c r="M26" s="875"/>
      <c r="N26" s="875"/>
      <c r="O26" s="875"/>
      <c r="P26" s="875"/>
      <c r="Q26" s="875"/>
      <c r="R26" s="875"/>
      <c r="S26" s="875"/>
      <c r="T26" s="875"/>
      <c r="U26" s="875"/>
      <c r="V26" s="875"/>
      <c r="W26" s="875"/>
      <c r="X26" s="875"/>
      <c r="Y26" s="875"/>
      <c r="Z26" s="875"/>
      <c r="AA26" s="876"/>
      <c r="AC26" s="242"/>
    </row>
    <row r="27" spans="2:29" x14ac:dyDescent="0.25">
      <c r="B27" s="874"/>
      <c r="C27" s="875"/>
      <c r="D27" s="875"/>
      <c r="E27" s="875"/>
      <c r="F27" s="875"/>
      <c r="G27" s="875"/>
      <c r="H27" s="875"/>
      <c r="I27" s="875"/>
      <c r="J27" s="875"/>
      <c r="K27" s="875"/>
      <c r="L27" s="875"/>
      <c r="M27" s="875"/>
      <c r="N27" s="875"/>
      <c r="O27" s="875"/>
      <c r="P27" s="875"/>
      <c r="Q27" s="875"/>
      <c r="R27" s="875"/>
      <c r="S27" s="875"/>
      <c r="T27" s="875"/>
      <c r="U27" s="875"/>
      <c r="V27" s="875"/>
      <c r="W27" s="875"/>
      <c r="X27" s="875"/>
      <c r="Y27" s="875"/>
      <c r="Z27" s="875"/>
      <c r="AA27" s="876"/>
      <c r="AC27" s="242"/>
    </row>
    <row r="28" spans="2:29" x14ac:dyDescent="0.25">
      <c r="B28" s="874"/>
      <c r="C28" s="875"/>
      <c r="D28" s="875"/>
      <c r="E28" s="875"/>
      <c r="F28" s="875"/>
      <c r="G28" s="875"/>
      <c r="H28" s="875"/>
      <c r="I28" s="875"/>
      <c r="J28" s="875"/>
      <c r="K28" s="875"/>
      <c r="L28" s="875"/>
      <c r="M28" s="875"/>
      <c r="N28" s="875"/>
      <c r="O28" s="875"/>
      <c r="P28" s="875"/>
      <c r="Q28" s="875"/>
      <c r="R28" s="875"/>
      <c r="S28" s="875"/>
      <c r="T28" s="875"/>
      <c r="U28" s="875"/>
      <c r="V28" s="875"/>
      <c r="W28" s="875"/>
      <c r="X28" s="875"/>
      <c r="Y28" s="875"/>
      <c r="Z28" s="875"/>
      <c r="AA28" s="876"/>
      <c r="AC28" s="242"/>
    </row>
    <row r="29" spans="2:29" x14ac:dyDescent="0.25">
      <c r="B29" s="874"/>
      <c r="C29" s="875"/>
      <c r="D29" s="875"/>
      <c r="E29" s="875"/>
      <c r="F29" s="875"/>
      <c r="G29" s="875"/>
      <c r="H29" s="875"/>
      <c r="I29" s="875"/>
      <c r="J29" s="875"/>
      <c r="K29" s="875"/>
      <c r="L29" s="875"/>
      <c r="M29" s="875"/>
      <c r="N29" s="875"/>
      <c r="O29" s="875"/>
      <c r="P29" s="875"/>
      <c r="Q29" s="875"/>
      <c r="R29" s="875"/>
      <c r="S29" s="875"/>
      <c r="T29" s="875"/>
      <c r="U29" s="875"/>
      <c r="V29" s="875"/>
      <c r="W29" s="875"/>
      <c r="X29" s="875"/>
      <c r="Y29" s="875"/>
      <c r="Z29" s="875"/>
      <c r="AA29" s="876"/>
      <c r="AC29" s="242"/>
    </row>
    <row r="30" spans="2:29" x14ac:dyDescent="0.25">
      <c r="B30" s="874"/>
      <c r="C30" s="875"/>
      <c r="D30" s="875"/>
      <c r="E30" s="875"/>
      <c r="F30" s="875"/>
      <c r="G30" s="875"/>
      <c r="H30" s="875"/>
      <c r="I30" s="875"/>
      <c r="J30" s="875"/>
      <c r="K30" s="875"/>
      <c r="L30" s="875"/>
      <c r="M30" s="875"/>
      <c r="N30" s="875"/>
      <c r="O30" s="875"/>
      <c r="P30" s="875"/>
      <c r="Q30" s="875"/>
      <c r="R30" s="875"/>
      <c r="S30" s="875"/>
      <c r="T30" s="875"/>
      <c r="U30" s="875"/>
      <c r="V30" s="875"/>
      <c r="W30" s="875"/>
      <c r="X30" s="875"/>
      <c r="Y30" s="875"/>
      <c r="Z30" s="875"/>
      <c r="AA30" s="876"/>
      <c r="AC30" s="242"/>
    </row>
    <row r="31" spans="2:29" x14ac:dyDescent="0.25">
      <c r="B31" s="874"/>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6"/>
      <c r="AC31" s="242"/>
    </row>
    <row r="32" spans="2:29" x14ac:dyDescent="0.25">
      <c r="B32" s="874"/>
      <c r="C32" s="875"/>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6"/>
      <c r="AC32" s="242"/>
    </row>
    <row r="33" spans="2:29" x14ac:dyDescent="0.25">
      <c r="B33" s="874"/>
      <c r="C33" s="875"/>
      <c r="D33" s="875"/>
      <c r="E33" s="875"/>
      <c r="F33" s="875"/>
      <c r="G33" s="875"/>
      <c r="H33" s="875"/>
      <c r="I33" s="875"/>
      <c r="J33" s="875"/>
      <c r="K33" s="875"/>
      <c r="L33" s="875"/>
      <c r="M33" s="875"/>
      <c r="N33" s="875"/>
      <c r="O33" s="875"/>
      <c r="P33" s="875"/>
      <c r="Q33" s="875"/>
      <c r="R33" s="875"/>
      <c r="S33" s="875"/>
      <c r="T33" s="875"/>
      <c r="U33" s="875"/>
      <c r="V33" s="875"/>
      <c r="W33" s="875"/>
      <c r="X33" s="875"/>
      <c r="Y33" s="875"/>
      <c r="Z33" s="875"/>
      <c r="AA33" s="876"/>
      <c r="AC33" s="242"/>
    </row>
    <row r="34" spans="2:29" ht="17.25" thickBot="1" x14ac:dyDescent="0.3">
      <c r="B34" s="877"/>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9"/>
      <c r="AC34" s="242"/>
    </row>
    <row r="35" spans="2:29" ht="17.25" thickBot="1" x14ac:dyDescent="0.3">
      <c r="AC35" s="242"/>
    </row>
    <row r="36" spans="2:29" s="32" customFormat="1" ht="18" thickBot="1" x14ac:dyDescent="0.3">
      <c r="B36" s="859" t="s">
        <v>367</v>
      </c>
      <c r="C36" s="860"/>
      <c r="D36" s="860"/>
      <c r="E36" s="860"/>
      <c r="F36" s="860"/>
      <c r="G36" s="860"/>
      <c r="H36" s="861"/>
      <c r="J36" s="859" t="s">
        <v>368</v>
      </c>
      <c r="K36" s="860"/>
      <c r="L36" s="860"/>
      <c r="M36" s="860"/>
      <c r="N36" s="860"/>
      <c r="O36" s="860"/>
      <c r="P36" s="860"/>
      <c r="Q36" s="860"/>
      <c r="R36" s="860"/>
      <c r="S36" s="860"/>
      <c r="T36" s="860"/>
      <c r="U36" s="860"/>
      <c r="V36" s="860"/>
      <c r="W36" s="860"/>
      <c r="X36" s="860"/>
      <c r="Y36" s="860"/>
      <c r="Z36" s="860"/>
      <c r="AA36" s="861"/>
      <c r="AC36" s="224"/>
    </row>
    <row r="37" spans="2:29" x14ac:dyDescent="0.25">
      <c r="B37" s="880"/>
      <c r="C37" s="881"/>
      <c r="D37" s="881"/>
      <c r="E37" s="881"/>
      <c r="F37" s="881"/>
      <c r="G37" s="881"/>
      <c r="H37" s="882"/>
      <c r="J37" s="871"/>
      <c r="K37" s="872"/>
      <c r="L37" s="872"/>
      <c r="M37" s="872"/>
      <c r="N37" s="872"/>
      <c r="O37" s="872"/>
      <c r="P37" s="872"/>
      <c r="Q37" s="872"/>
      <c r="R37" s="872"/>
      <c r="S37" s="872"/>
      <c r="T37" s="872"/>
      <c r="U37" s="872"/>
      <c r="V37" s="872"/>
      <c r="W37" s="872"/>
      <c r="X37" s="872"/>
      <c r="Y37" s="872"/>
      <c r="Z37" s="872"/>
      <c r="AA37" s="873"/>
      <c r="AC37" s="242"/>
    </row>
    <row r="38" spans="2:29" x14ac:dyDescent="0.25">
      <c r="B38" s="883"/>
      <c r="C38" s="884"/>
      <c r="D38" s="884"/>
      <c r="E38" s="884"/>
      <c r="F38" s="884"/>
      <c r="G38" s="884"/>
      <c r="H38" s="885"/>
      <c r="J38" s="874"/>
      <c r="K38" s="875"/>
      <c r="L38" s="875"/>
      <c r="M38" s="875"/>
      <c r="N38" s="875"/>
      <c r="O38" s="875"/>
      <c r="P38" s="875"/>
      <c r="Q38" s="875"/>
      <c r="R38" s="875"/>
      <c r="S38" s="875"/>
      <c r="T38" s="875"/>
      <c r="U38" s="875"/>
      <c r="V38" s="875"/>
      <c r="W38" s="875"/>
      <c r="X38" s="875"/>
      <c r="Y38" s="875"/>
      <c r="Z38" s="875"/>
      <c r="AA38" s="876"/>
      <c r="AC38" s="242"/>
    </row>
    <row r="39" spans="2:29" x14ac:dyDescent="0.25">
      <c r="B39" s="883"/>
      <c r="C39" s="884"/>
      <c r="D39" s="884"/>
      <c r="E39" s="884"/>
      <c r="F39" s="884"/>
      <c r="G39" s="884"/>
      <c r="H39" s="885"/>
      <c r="J39" s="874"/>
      <c r="K39" s="875"/>
      <c r="L39" s="875"/>
      <c r="M39" s="875"/>
      <c r="N39" s="875"/>
      <c r="O39" s="875"/>
      <c r="P39" s="875"/>
      <c r="Q39" s="875"/>
      <c r="R39" s="875"/>
      <c r="S39" s="875"/>
      <c r="T39" s="875"/>
      <c r="U39" s="875"/>
      <c r="V39" s="875"/>
      <c r="W39" s="875"/>
      <c r="X39" s="875"/>
      <c r="Y39" s="875"/>
      <c r="Z39" s="875"/>
      <c r="AA39" s="876"/>
      <c r="AC39" s="242"/>
    </row>
    <row r="40" spans="2:29" x14ac:dyDescent="0.25">
      <c r="B40" s="883"/>
      <c r="C40" s="884"/>
      <c r="D40" s="884"/>
      <c r="E40" s="884"/>
      <c r="F40" s="884"/>
      <c r="G40" s="884"/>
      <c r="H40" s="885"/>
      <c r="J40" s="874"/>
      <c r="K40" s="875"/>
      <c r="L40" s="875"/>
      <c r="M40" s="875"/>
      <c r="N40" s="875"/>
      <c r="O40" s="875"/>
      <c r="P40" s="875"/>
      <c r="Q40" s="875"/>
      <c r="R40" s="875"/>
      <c r="S40" s="875"/>
      <c r="T40" s="875"/>
      <c r="U40" s="875"/>
      <c r="V40" s="875"/>
      <c r="W40" s="875"/>
      <c r="X40" s="875"/>
      <c r="Y40" s="875"/>
      <c r="Z40" s="875"/>
      <c r="AA40" s="876"/>
      <c r="AC40" s="242"/>
    </row>
    <row r="41" spans="2:29" x14ac:dyDescent="0.25">
      <c r="B41" s="883"/>
      <c r="C41" s="884"/>
      <c r="D41" s="884"/>
      <c r="E41" s="884"/>
      <c r="F41" s="884"/>
      <c r="G41" s="884"/>
      <c r="H41" s="885"/>
      <c r="J41" s="874"/>
      <c r="K41" s="875"/>
      <c r="L41" s="875"/>
      <c r="M41" s="875"/>
      <c r="N41" s="875"/>
      <c r="O41" s="875"/>
      <c r="P41" s="875"/>
      <c r="Q41" s="875"/>
      <c r="R41" s="875"/>
      <c r="S41" s="875"/>
      <c r="T41" s="875"/>
      <c r="U41" s="875"/>
      <c r="V41" s="875"/>
      <c r="W41" s="875"/>
      <c r="X41" s="875"/>
      <c r="Y41" s="875"/>
      <c r="Z41" s="875"/>
      <c r="AA41" s="876"/>
      <c r="AC41" s="242"/>
    </row>
    <row r="42" spans="2:29" x14ac:dyDescent="0.25">
      <c r="B42" s="883"/>
      <c r="C42" s="884"/>
      <c r="D42" s="884"/>
      <c r="E42" s="884"/>
      <c r="F42" s="884"/>
      <c r="G42" s="884"/>
      <c r="H42" s="885"/>
      <c r="J42" s="874"/>
      <c r="K42" s="875"/>
      <c r="L42" s="875"/>
      <c r="M42" s="875"/>
      <c r="N42" s="875"/>
      <c r="O42" s="875"/>
      <c r="P42" s="875"/>
      <c r="Q42" s="875"/>
      <c r="R42" s="875"/>
      <c r="S42" s="875"/>
      <c r="T42" s="875"/>
      <c r="U42" s="875"/>
      <c r="V42" s="875"/>
      <c r="W42" s="875"/>
      <c r="X42" s="875"/>
      <c r="Y42" s="875"/>
      <c r="Z42" s="875"/>
      <c r="AA42" s="876"/>
      <c r="AC42" s="242"/>
    </row>
    <row r="43" spans="2:29" x14ac:dyDescent="0.25">
      <c r="B43" s="883"/>
      <c r="C43" s="884"/>
      <c r="D43" s="884"/>
      <c r="E43" s="884"/>
      <c r="F43" s="884"/>
      <c r="G43" s="884"/>
      <c r="H43" s="885"/>
      <c r="J43" s="874"/>
      <c r="K43" s="875"/>
      <c r="L43" s="875"/>
      <c r="M43" s="875"/>
      <c r="N43" s="875"/>
      <c r="O43" s="875"/>
      <c r="P43" s="875"/>
      <c r="Q43" s="875"/>
      <c r="R43" s="875"/>
      <c r="S43" s="875"/>
      <c r="T43" s="875"/>
      <c r="U43" s="875"/>
      <c r="V43" s="875"/>
      <c r="W43" s="875"/>
      <c r="X43" s="875"/>
      <c r="Y43" s="875"/>
      <c r="Z43" s="875"/>
      <c r="AA43" s="876"/>
      <c r="AC43" s="242"/>
    </row>
    <row r="44" spans="2:29" x14ac:dyDescent="0.25">
      <c r="B44" s="883"/>
      <c r="C44" s="884"/>
      <c r="D44" s="884"/>
      <c r="E44" s="884"/>
      <c r="F44" s="884"/>
      <c r="G44" s="884"/>
      <c r="H44" s="885"/>
      <c r="J44" s="874"/>
      <c r="K44" s="875"/>
      <c r="L44" s="875"/>
      <c r="M44" s="875"/>
      <c r="N44" s="875"/>
      <c r="O44" s="875"/>
      <c r="P44" s="875"/>
      <c r="Q44" s="875"/>
      <c r="R44" s="875"/>
      <c r="S44" s="875"/>
      <c r="T44" s="875"/>
      <c r="U44" s="875"/>
      <c r="V44" s="875"/>
      <c r="W44" s="875"/>
      <c r="X44" s="875"/>
      <c r="Y44" s="875"/>
      <c r="Z44" s="875"/>
      <c r="AA44" s="876"/>
      <c r="AC44" s="242"/>
    </row>
    <row r="45" spans="2:29" x14ac:dyDescent="0.25">
      <c r="B45" s="883"/>
      <c r="C45" s="884"/>
      <c r="D45" s="884"/>
      <c r="E45" s="884"/>
      <c r="F45" s="884"/>
      <c r="G45" s="884"/>
      <c r="H45" s="885"/>
      <c r="J45" s="874"/>
      <c r="K45" s="875"/>
      <c r="L45" s="875"/>
      <c r="M45" s="875"/>
      <c r="N45" s="875"/>
      <c r="O45" s="875"/>
      <c r="P45" s="875"/>
      <c r="Q45" s="875"/>
      <c r="R45" s="875"/>
      <c r="S45" s="875"/>
      <c r="T45" s="875"/>
      <c r="U45" s="875"/>
      <c r="V45" s="875"/>
      <c r="W45" s="875"/>
      <c r="X45" s="875"/>
      <c r="Y45" s="875"/>
      <c r="Z45" s="875"/>
      <c r="AA45" s="876"/>
      <c r="AC45" s="242"/>
    </row>
    <row r="46" spans="2:29" x14ac:dyDescent="0.25">
      <c r="B46" s="883"/>
      <c r="C46" s="884"/>
      <c r="D46" s="884"/>
      <c r="E46" s="884"/>
      <c r="F46" s="884"/>
      <c r="G46" s="884"/>
      <c r="H46" s="885"/>
      <c r="J46" s="874"/>
      <c r="K46" s="875"/>
      <c r="L46" s="875"/>
      <c r="M46" s="875"/>
      <c r="N46" s="875"/>
      <c r="O46" s="875"/>
      <c r="P46" s="875"/>
      <c r="Q46" s="875"/>
      <c r="R46" s="875"/>
      <c r="S46" s="875"/>
      <c r="T46" s="875"/>
      <c r="U46" s="875"/>
      <c r="V46" s="875"/>
      <c r="W46" s="875"/>
      <c r="X46" s="875"/>
      <c r="Y46" s="875"/>
      <c r="Z46" s="875"/>
      <c r="AA46" s="876"/>
      <c r="AC46" s="242"/>
    </row>
    <row r="47" spans="2:29" x14ac:dyDescent="0.25">
      <c r="B47" s="883"/>
      <c r="C47" s="884"/>
      <c r="D47" s="884"/>
      <c r="E47" s="884"/>
      <c r="F47" s="884"/>
      <c r="G47" s="884"/>
      <c r="H47" s="885"/>
      <c r="J47" s="874"/>
      <c r="K47" s="875"/>
      <c r="L47" s="875"/>
      <c r="M47" s="875"/>
      <c r="N47" s="875"/>
      <c r="O47" s="875"/>
      <c r="P47" s="875"/>
      <c r="Q47" s="875"/>
      <c r="R47" s="875"/>
      <c r="S47" s="875"/>
      <c r="T47" s="875"/>
      <c r="U47" s="875"/>
      <c r="V47" s="875"/>
      <c r="W47" s="875"/>
      <c r="X47" s="875"/>
      <c r="Y47" s="875"/>
      <c r="Z47" s="875"/>
      <c r="AA47" s="876"/>
      <c r="AC47" s="242"/>
    </row>
    <row r="48" spans="2:29" x14ac:dyDescent="0.25">
      <c r="B48" s="883"/>
      <c r="C48" s="884"/>
      <c r="D48" s="884"/>
      <c r="E48" s="884"/>
      <c r="F48" s="884"/>
      <c r="G48" s="884"/>
      <c r="H48" s="885"/>
      <c r="J48" s="874"/>
      <c r="K48" s="875"/>
      <c r="L48" s="875"/>
      <c r="M48" s="875"/>
      <c r="N48" s="875"/>
      <c r="O48" s="875"/>
      <c r="P48" s="875"/>
      <c r="Q48" s="875"/>
      <c r="R48" s="875"/>
      <c r="S48" s="875"/>
      <c r="T48" s="875"/>
      <c r="U48" s="875"/>
      <c r="V48" s="875"/>
      <c r="W48" s="875"/>
      <c r="X48" s="875"/>
      <c r="Y48" s="875"/>
      <c r="Z48" s="875"/>
      <c r="AA48" s="876"/>
      <c r="AC48" s="242"/>
    </row>
    <row r="49" spans="2:29" x14ac:dyDescent="0.25">
      <c r="B49" s="883"/>
      <c r="C49" s="884"/>
      <c r="D49" s="884"/>
      <c r="E49" s="884"/>
      <c r="F49" s="884"/>
      <c r="G49" s="884"/>
      <c r="H49" s="885"/>
      <c r="J49" s="874"/>
      <c r="K49" s="875"/>
      <c r="L49" s="875"/>
      <c r="M49" s="875"/>
      <c r="N49" s="875"/>
      <c r="O49" s="875"/>
      <c r="P49" s="875"/>
      <c r="Q49" s="875"/>
      <c r="R49" s="875"/>
      <c r="S49" s="875"/>
      <c r="T49" s="875"/>
      <c r="U49" s="875"/>
      <c r="V49" s="875"/>
      <c r="W49" s="875"/>
      <c r="X49" s="875"/>
      <c r="Y49" s="875"/>
      <c r="Z49" s="875"/>
      <c r="AA49" s="876"/>
      <c r="AC49" s="242"/>
    </row>
    <row r="50" spans="2:29" x14ac:dyDescent="0.25">
      <c r="B50" s="883"/>
      <c r="C50" s="884"/>
      <c r="D50" s="884"/>
      <c r="E50" s="884"/>
      <c r="F50" s="884"/>
      <c r="G50" s="884"/>
      <c r="H50" s="885"/>
      <c r="J50" s="874"/>
      <c r="K50" s="875"/>
      <c r="L50" s="875"/>
      <c r="M50" s="875"/>
      <c r="N50" s="875"/>
      <c r="O50" s="875"/>
      <c r="P50" s="875"/>
      <c r="Q50" s="875"/>
      <c r="R50" s="875"/>
      <c r="S50" s="875"/>
      <c r="T50" s="875"/>
      <c r="U50" s="875"/>
      <c r="V50" s="875"/>
      <c r="W50" s="875"/>
      <c r="X50" s="875"/>
      <c r="Y50" s="875"/>
      <c r="Z50" s="875"/>
      <c r="AA50" s="876"/>
      <c r="AC50" s="242"/>
    </row>
    <row r="51" spans="2:29" x14ac:dyDescent="0.25">
      <c r="B51" s="883"/>
      <c r="C51" s="884"/>
      <c r="D51" s="884"/>
      <c r="E51" s="884"/>
      <c r="F51" s="884"/>
      <c r="G51" s="884"/>
      <c r="H51" s="885"/>
      <c r="J51" s="874"/>
      <c r="K51" s="875"/>
      <c r="L51" s="875"/>
      <c r="M51" s="875"/>
      <c r="N51" s="875"/>
      <c r="O51" s="875"/>
      <c r="P51" s="875"/>
      <c r="Q51" s="875"/>
      <c r="R51" s="875"/>
      <c r="S51" s="875"/>
      <c r="T51" s="875"/>
      <c r="U51" s="875"/>
      <c r="V51" s="875"/>
      <c r="W51" s="875"/>
      <c r="X51" s="875"/>
      <c r="Y51" s="875"/>
      <c r="Z51" s="875"/>
      <c r="AA51" s="876"/>
      <c r="AC51" s="242"/>
    </row>
    <row r="52" spans="2:29" x14ac:dyDescent="0.25">
      <c r="B52" s="883"/>
      <c r="C52" s="884"/>
      <c r="D52" s="884"/>
      <c r="E52" s="884"/>
      <c r="F52" s="884"/>
      <c r="G52" s="884"/>
      <c r="H52" s="885"/>
      <c r="J52" s="874"/>
      <c r="K52" s="875"/>
      <c r="L52" s="875"/>
      <c r="M52" s="875"/>
      <c r="N52" s="875"/>
      <c r="O52" s="875"/>
      <c r="P52" s="875"/>
      <c r="Q52" s="875"/>
      <c r="R52" s="875"/>
      <c r="S52" s="875"/>
      <c r="T52" s="875"/>
      <c r="U52" s="875"/>
      <c r="V52" s="875"/>
      <c r="W52" s="875"/>
      <c r="X52" s="875"/>
      <c r="Y52" s="875"/>
      <c r="Z52" s="875"/>
      <c r="AA52" s="876"/>
      <c r="AC52" s="242"/>
    </row>
    <row r="53" spans="2:29" x14ac:dyDescent="0.25">
      <c r="B53" s="883"/>
      <c r="C53" s="884"/>
      <c r="D53" s="884"/>
      <c r="E53" s="884"/>
      <c r="F53" s="884"/>
      <c r="G53" s="884"/>
      <c r="H53" s="885"/>
      <c r="J53" s="874"/>
      <c r="K53" s="875"/>
      <c r="L53" s="875"/>
      <c r="M53" s="875"/>
      <c r="N53" s="875"/>
      <c r="O53" s="875"/>
      <c r="P53" s="875"/>
      <c r="Q53" s="875"/>
      <c r="R53" s="875"/>
      <c r="S53" s="875"/>
      <c r="T53" s="875"/>
      <c r="U53" s="875"/>
      <c r="V53" s="875"/>
      <c r="W53" s="875"/>
      <c r="X53" s="875"/>
      <c r="Y53" s="875"/>
      <c r="Z53" s="875"/>
      <c r="AA53" s="876"/>
      <c r="AC53" s="242"/>
    </row>
    <row r="54" spans="2:29" x14ac:dyDescent="0.25">
      <c r="B54" s="883"/>
      <c r="C54" s="884"/>
      <c r="D54" s="884"/>
      <c r="E54" s="884"/>
      <c r="F54" s="884"/>
      <c r="G54" s="884"/>
      <c r="H54" s="885"/>
      <c r="J54" s="874"/>
      <c r="K54" s="875"/>
      <c r="L54" s="875"/>
      <c r="M54" s="875"/>
      <c r="N54" s="875"/>
      <c r="O54" s="875"/>
      <c r="P54" s="875"/>
      <c r="Q54" s="875"/>
      <c r="R54" s="875"/>
      <c r="S54" s="875"/>
      <c r="T54" s="875"/>
      <c r="U54" s="875"/>
      <c r="V54" s="875"/>
      <c r="W54" s="875"/>
      <c r="X54" s="875"/>
      <c r="Y54" s="875"/>
      <c r="Z54" s="875"/>
      <c r="AA54" s="876"/>
      <c r="AC54" s="242"/>
    </row>
    <row r="55" spans="2:29" x14ac:dyDescent="0.25">
      <c r="B55" s="883"/>
      <c r="C55" s="884"/>
      <c r="D55" s="884"/>
      <c r="E55" s="884"/>
      <c r="F55" s="884"/>
      <c r="G55" s="884"/>
      <c r="H55" s="885"/>
      <c r="J55" s="874"/>
      <c r="K55" s="875"/>
      <c r="L55" s="875"/>
      <c r="M55" s="875"/>
      <c r="N55" s="875"/>
      <c r="O55" s="875"/>
      <c r="P55" s="875"/>
      <c r="Q55" s="875"/>
      <c r="R55" s="875"/>
      <c r="S55" s="875"/>
      <c r="T55" s="875"/>
      <c r="U55" s="875"/>
      <c r="V55" s="875"/>
      <c r="W55" s="875"/>
      <c r="X55" s="875"/>
      <c r="Y55" s="875"/>
      <c r="Z55" s="875"/>
      <c r="AA55" s="876"/>
      <c r="AC55" s="242"/>
    </row>
    <row r="56" spans="2:29" x14ac:dyDescent="0.25">
      <c r="B56" s="883"/>
      <c r="C56" s="884"/>
      <c r="D56" s="884"/>
      <c r="E56" s="884"/>
      <c r="F56" s="884"/>
      <c r="G56" s="884"/>
      <c r="H56" s="885"/>
      <c r="J56" s="874"/>
      <c r="K56" s="875"/>
      <c r="L56" s="875"/>
      <c r="M56" s="875"/>
      <c r="N56" s="875"/>
      <c r="O56" s="875"/>
      <c r="P56" s="875"/>
      <c r="Q56" s="875"/>
      <c r="R56" s="875"/>
      <c r="S56" s="875"/>
      <c r="T56" s="875"/>
      <c r="U56" s="875"/>
      <c r="V56" s="875"/>
      <c r="W56" s="875"/>
      <c r="X56" s="875"/>
      <c r="Y56" s="875"/>
      <c r="Z56" s="875"/>
      <c r="AA56" s="876"/>
      <c r="AC56" s="242"/>
    </row>
    <row r="57" spans="2:29" ht="17.25" thickBot="1" x14ac:dyDescent="0.3">
      <c r="B57" s="886"/>
      <c r="C57" s="887"/>
      <c r="D57" s="887"/>
      <c r="E57" s="887"/>
      <c r="F57" s="887"/>
      <c r="G57" s="887"/>
      <c r="H57" s="888"/>
      <c r="J57" s="877"/>
      <c r="K57" s="878"/>
      <c r="L57" s="878"/>
      <c r="M57" s="878"/>
      <c r="N57" s="878"/>
      <c r="O57" s="878"/>
      <c r="P57" s="878"/>
      <c r="Q57" s="878"/>
      <c r="R57" s="878"/>
      <c r="S57" s="878"/>
      <c r="T57" s="878"/>
      <c r="U57" s="878"/>
      <c r="V57" s="878"/>
      <c r="W57" s="878"/>
      <c r="X57" s="878"/>
      <c r="Y57" s="878"/>
      <c r="Z57" s="878"/>
      <c r="AA57" s="879"/>
      <c r="AC57" s="242"/>
    </row>
    <row r="58" spans="2:29" ht="17.25" thickBot="1" x14ac:dyDescent="0.3">
      <c r="J58" s="239"/>
      <c r="AC58" s="242"/>
    </row>
    <row r="59" spans="2:29" s="43" customFormat="1" ht="21" customHeight="1" thickBot="1" x14ac:dyDescent="0.3">
      <c r="B59" s="859" t="s">
        <v>369</v>
      </c>
      <c r="C59" s="860"/>
      <c r="D59" s="860"/>
      <c r="E59" s="860"/>
      <c r="F59" s="860"/>
      <c r="G59" s="860"/>
      <c r="H59" s="861"/>
      <c r="J59" s="901" t="s">
        <v>370</v>
      </c>
      <c r="K59" s="902"/>
      <c r="L59" s="902"/>
      <c r="M59" s="902"/>
      <c r="N59" s="902"/>
      <c r="O59" s="902"/>
      <c r="P59" s="902"/>
      <c r="Q59" s="902"/>
      <c r="R59" s="902"/>
      <c r="S59" s="902"/>
      <c r="T59" s="902"/>
      <c r="U59" s="902"/>
      <c r="V59" s="902"/>
      <c r="W59" s="902"/>
      <c r="X59" s="902"/>
      <c r="Y59" s="902"/>
      <c r="Z59" s="902"/>
      <c r="AA59" s="903"/>
      <c r="AC59" s="225"/>
    </row>
    <row r="60" spans="2:29" x14ac:dyDescent="0.25">
      <c r="B60" s="889"/>
      <c r="C60" s="890"/>
      <c r="D60" s="890"/>
      <c r="E60" s="890"/>
      <c r="F60" s="890"/>
      <c r="G60" s="890"/>
      <c r="H60" s="891"/>
      <c r="J60" s="889"/>
      <c r="K60" s="890"/>
      <c r="L60" s="890"/>
      <c r="M60" s="890"/>
      <c r="N60" s="890"/>
      <c r="O60" s="890"/>
      <c r="P60" s="890"/>
      <c r="Q60" s="890"/>
      <c r="R60" s="890"/>
      <c r="S60" s="890"/>
      <c r="T60" s="890"/>
      <c r="U60" s="890"/>
      <c r="V60" s="890"/>
      <c r="W60" s="890"/>
      <c r="X60" s="890"/>
      <c r="Y60" s="890"/>
      <c r="Z60" s="890"/>
      <c r="AA60" s="891"/>
      <c r="AC60" s="242"/>
    </row>
    <row r="61" spans="2:29" x14ac:dyDescent="0.25">
      <c r="B61" s="892"/>
      <c r="C61" s="893"/>
      <c r="D61" s="893"/>
      <c r="E61" s="893"/>
      <c r="F61" s="893"/>
      <c r="G61" s="893"/>
      <c r="H61" s="894"/>
      <c r="J61" s="892"/>
      <c r="K61" s="893"/>
      <c r="L61" s="893"/>
      <c r="M61" s="893"/>
      <c r="N61" s="893"/>
      <c r="O61" s="893"/>
      <c r="P61" s="893"/>
      <c r="Q61" s="893"/>
      <c r="R61" s="893"/>
      <c r="S61" s="893"/>
      <c r="T61" s="893"/>
      <c r="U61" s="893"/>
      <c r="V61" s="893"/>
      <c r="W61" s="893"/>
      <c r="X61" s="893"/>
      <c r="Y61" s="893"/>
      <c r="Z61" s="893"/>
      <c r="AA61" s="894"/>
      <c r="AC61" s="242"/>
    </row>
    <row r="62" spans="2:29" x14ac:dyDescent="0.25">
      <c r="B62" s="892"/>
      <c r="C62" s="893"/>
      <c r="D62" s="893"/>
      <c r="E62" s="893"/>
      <c r="F62" s="893"/>
      <c r="G62" s="893"/>
      <c r="H62" s="894"/>
      <c r="J62" s="892"/>
      <c r="K62" s="893"/>
      <c r="L62" s="893"/>
      <c r="M62" s="893"/>
      <c r="N62" s="893"/>
      <c r="O62" s="893"/>
      <c r="P62" s="893"/>
      <c r="Q62" s="893"/>
      <c r="R62" s="893"/>
      <c r="S62" s="893"/>
      <c r="T62" s="893"/>
      <c r="U62" s="893"/>
      <c r="V62" s="893"/>
      <c r="W62" s="893"/>
      <c r="X62" s="893"/>
      <c r="Y62" s="893"/>
      <c r="Z62" s="893"/>
      <c r="AA62" s="894"/>
      <c r="AC62" s="242"/>
    </row>
    <row r="63" spans="2:29" x14ac:dyDescent="0.25">
      <c r="B63" s="892"/>
      <c r="C63" s="893"/>
      <c r="D63" s="893"/>
      <c r="E63" s="893"/>
      <c r="F63" s="893"/>
      <c r="G63" s="893"/>
      <c r="H63" s="894"/>
      <c r="J63" s="892"/>
      <c r="K63" s="893"/>
      <c r="L63" s="893"/>
      <c r="M63" s="893"/>
      <c r="N63" s="893"/>
      <c r="O63" s="893"/>
      <c r="P63" s="893"/>
      <c r="Q63" s="893"/>
      <c r="R63" s="893"/>
      <c r="S63" s="893"/>
      <c r="T63" s="893"/>
      <c r="U63" s="893"/>
      <c r="V63" s="893"/>
      <c r="W63" s="893"/>
      <c r="X63" s="893"/>
      <c r="Y63" s="893"/>
      <c r="Z63" s="893"/>
      <c r="AA63" s="894"/>
      <c r="AC63" s="242"/>
    </row>
    <row r="64" spans="2:29" x14ac:dyDescent="0.25">
      <c r="B64" s="892"/>
      <c r="C64" s="893"/>
      <c r="D64" s="893"/>
      <c r="E64" s="893"/>
      <c r="F64" s="893"/>
      <c r="G64" s="893"/>
      <c r="H64" s="894"/>
      <c r="J64" s="892"/>
      <c r="K64" s="893"/>
      <c r="L64" s="893"/>
      <c r="M64" s="893"/>
      <c r="N64" s="893"/>
      <c r="O64" s="893"/>
      <c r="P64" s="893"/>
      <c r="Q64" s="893"/>
      <c r="R64" s="893"/>
      <c r="S64" s="893"/>
      <c r="T64" s="893"/>
      <c r="U64" s="893"/>
      <c r="V64" s="893"/>
      <c r="W64" s="893"/>
      <c r="X64" s="893"/>
      <c r="Y64" s="893"/>
      <c r="Z64" s="893"/>
      <c r="AA64" s="894"/>
      <c r="AC64" s="242"/>
    </row>
    <row r="65" spans="2:29" x14ac:dyDescent="0.25">
      <c r="B65" s="892"/>
      <c r="C65" s="893"/>
      <c r="D65" s="893"/>
      <c r="E65" s="893"/>
      <c r="F65" s="893"/>
      <c r="G65" s="893"/>
      <c r="H65" s="894"/>
      <c r="J65" s="892"/>
      <c r="K65" s="893"/>
      <c r="L65" s="893"/>
      <c r="M65" s="893"/>
      <c r="N65" s="893"/>
      <c r="O65" s="893"/>
      <c r="P65" s="893"/>
      <c r="Q65" s="893"/>
      <c r="R65" s="893"/>
      <c r="S65" s="893"/>
      <c r="T65" s="893"/>
      <c r="U65" s="893"/>
      <c r="V65" s="893"/>
      <c r="W65" s="893"/>
      <c r="X65" s="893"/>
      <c r="Y65" s="893"/>
      <c r="Z65" s="893"/>
      <c r="AA65" s="894"/>
      <c r="AC65" s="242"/>
    </row>
    <row r="66" spans="2:29" x14ac:dyDescent="0.25">
      <c r="B66" s="892"/>
      <c r="C66" s="893"/>
      <c r="D66" s="893"/>
      <c r="E66" s="893"/>
      <c r="F66" s="893"/>
      <c r="G66" s="893"/>
      <c r="H66" s="894"/>
      <c r="J66" s="892"/>
      <c r="K66" s="893"/>
      <c r="L66" s="893"/>
      <c r="M66" s="893"/>
      <c r="N66" s="893"/>
      <c r="O66" s="893"/>
      <c r="P66" s="893"/>
      <c r="Q66" s="893"/>
      <c r="R66" s="893"/>
      <c r="S66" s="893"/>
      <c r="T66" s="893"/>
      <c r="U66" s="893"/>
      <c r="V66" s="893"/>
      <c r="W66" s="893"/>
      <c r="X66" s="893"/>
      <c r="Y66" s="893"/>
      <c r="Z66" s="893"/>
      <c r="AA66" s="894"/>
      <c r="AC66" s="242"/>
    </row>
    <row r="67" spans="2:29" x14ac:dyDescent="0.25">
      <c r="B67" s="892"/>
      <c r="C67" s="893"/>
      <c r="D67" s="893"/>
      <c r="E67" s="893"/>
      <c r="F67" s="893"/>
      <c r="G67" s="893"/>
      <c r="H67" s="894"/>
      <c r="J67" s="892"/>
      <c r="K67" s="893"/>
      <c r="L67" s="893"/>
      <c r="M67" s="893"/>
      <c r="N67" s="893"/>
      <c r="O67" s="893"/>
      <c r="P67" s="893"/>
      <c r="Q67" s="893"/>
      <c r="R67" s="893"/>
      <c r="S67" s="893"/>
      <c r="T67" s="893"/>
      <c r="U67" s="893"/>
      <c r="V67" s="893"/>
      <c r="W67" s="893"/>
      <c r="X67" s="893"/>
      <c r="Y67" s="893"/>
      <c r="Z67" s="893"/>
      <c r="AA67" s="894"/>
      <c r="AC67" s="242"/>
    </row>
    <row r="68" spans="2:29" x14ac:dyDescent="0.25">
      <c r="B68" s="892"/>
      <c r="C68" s="893"/>
      <c r="D68" s="893"/>
      <c r="E68" s="893"/>
      <c r="F68" s="893"/>
      <c r="G68" s="893"/>
      <c r="H68" s="894"/>
      <c r="J68" s="892"/>
      <c r="K68" s="893"/>
      <c r="L68" s="893"/>
      <c r="M68" s="893"/>
      <c r="N68" s="893"/>
      <c r="O68" s="893"/>
      <c r="P68" s="893"/>
      <c r="Q68" s="893"/>
      <c r="R68" s="893"/>
      <c r="S68" s="893"/>
      <c r="T68" s="893"/>
      <c r="U68" s="893"/>
      <c r="V68" s="893"/>
      <c r="W68" s="893"/>
      <c r="X68" s="893"/>
      <c r="Y68" s="893"/>
      <c r="Z68" s="893"/>
      <c r="AA68" s="894"/>
      <c r="AC68" s="242"/>
    </row>
    <row r="69" spans="2:29" x14ac:dyDescent="0.25">
      <c r="B69" s="892"/>
      <c r="C69" s="893"/>
      <c r="D69" s="893"/>
      <c r="E69" s="893"/>
      <c r="F69" s="893"/>
      <c r="G69" s="893"/>
      <c r="H69" s="894"/>
      <c r="J69" s="892"/>
      <c r="K69" s="893"/>
      <c r="L69" s="893"/>
      <c r="M69" s="893"/>
      <c r="N69" s="893"/>
      <c r="O69" s="893"/>
      <c r="P69" s="893"/>
      <c r="Q69" s="893"/>
      <c r="R69" s="893"/>
      <c r="S69" s="893"/>
      <c r="T69" s="893"/>
      <c r="U69" s="893"/>
      <c r="V69" s="893"/>
      <c r="W69" s="893"/>
      <c r="X69" s="893"/>
      <c r="Y69" s="893"/>
      <c r="Z69" s="893"/>
      <c r="AA69" s="894"/>
      <c r="AC69" s="242"/>
    </row>
    <row r="70" spans="2:29" x14ac:dyDescent="0.25">
      <c r="B70" s="892"/>
      <c r="C70" s="893"/>
      <c r="D70" s="893"/>
      <c r="E70" s="893"/>
      <c r="F70" s="893"/>
      <c r="G70" s="893"/>
      <c r="H70" s="894"/>
      <c r="J70" s="892"/>
      <c r="K70" s="893"/>
      <c r="L70" s="893"/>
      <c r="M70" s="893"/>
      <c r="N70" s="893"/>
      <c r="O70" s="893"/>
      <c r="P70" s="893"/>
      <c r="Q70" s="893"/>
      <c r="R70" s="893"/>
      <c r="S70" s="893"/>
      <c r="T70" s="893"/>
      <c r="U70" s="893"/>
      <c r="V70" s="893"/>
      <c r="W70" s="893"/>
      <c r="X70" s="893"/>
      <c r="Y70" s="893"/>
      <c r="Z70" s="893"/>
      <c r="AA70" s="894"/>
      <c r="AC70" s="242"/>
    </row>
    <row r="71" spans="2:29" x14ac:dyDescent="0.25">
      <c r="B71" s="892"/>
      <c r="C71" s="893"/>
      <c r="D71" s="893"/>
      <c r="E71" s="893"/>
      <c r="F71" s="893"/>
      <c r="G71" s="893"/>
      <c r="H71" s="894"/>
      <c r="J71" s="892"/>
      <c r="K71" s="893"/>
      <c r="L71" s="893"/>
      <c r="M71" s="893"/>
      <c r="N71" s="893"/>
      <c r="O71" s="893"/>
      <c r="P71" s="893"/>
      <c r="Q71" s="893"/>
      <c r="R71" s="893"/>
      <c r="S71" s="893"/>
      <c r="T71" s="893"/>
      <c r="U71" s="893"/>
      <c r="V71" s="893"/>
      <c r="W71" s="893"/>
      <c r="X71" s="893"/>
      <c r="Y71" s="893"/>
      <c r="Z71" s="893"/>
      <c r="AA71" s="894"/>
      <c r="AC71" s="242"/>
    </row>
    <row r="72" spans="2:29" x14ac:dyDescent="0.25">
      <c r="B72" s="892"/>
      <c r="C72" s="893"/>
      <c r="D72" s="893"/>
      <c r="E72" s="893"/>
      <c r="F72" s="893"/>
      <c r="G72" s="893"/>
      <c r="H72" s="894"/>
      <c r="J72" s="892"/>
      <c r="K72" s="893"/>
      <c r="L72" s="893"/>
      <c r="M72" s="893"/>
      <c r="N72" s="893"/>
      <c r="O72" s="893"/>
      <c r="P72" s="893"/>
      <c r="Q72" s="893"/>
      <c r="R72" s="893"/>
      <c r="S72" s="893"/>
      <c r="T72" s="893"/>
      <c r="U72" s="893"/>
      <c r="V72" s="893"/>
      <c r="W72" s="893"/>
      <c r="X72" s="893"/>
      <c r="Y72" s="893"/>
      <c r="Z72" s="893"/>
      <c r="AA72" s="894"/>
      <c r="AC72" s="242"/>
    </row>
    <row r="73" spans="2:29" x14ac:dyDescent="0.25">
      <c r="B73" s="892"/>
      <c r="C73" s="893"/>
      <c r="D73" s="893"/>
      <c r="E73" s="893"/>
      <c r="F73" s="893"/>
      <c r="G73" s="893"/>
      <c r="H73" s="894"/>
      <c r="J73" s="892"/>
      <c r="K73" s="893"/>
      <c r="L73" s="893"/>
      <c r="M73" s="893"/>
      <c r="N73" s="893"/>
      <c r="O73" s="893"/>
      <c r="P73" s="893"/>
      <c r="Q73" s="893"/>
      <c r="R73" s="893"/>
      <c r="S73" s="893"/>
      <c r="T73" s="893"/>
      <c r="U73" s="893"/>
      <c r="V73" s="893"/>
      <c r="W73" s="893"/>
      <c r="X73" s="893"/>
      <c r="Y73" s="893"/>
      <c r="Z73" s="893"/>
      <c r="AA73" s="894"/>
      <c r="AC73" s="242"/>
    </row>
    <row r="74" spans="2:29" x14ac:dyDescent="0.25">
      <c r="B74" s="892"/>
      <c r="C74" s="893"/>
      <c r="D74" s="893"/>
      <c r="E74" s="893"/>
      <c r="F74" s="893"/>
      <c r="G74" s="893"/>
      <c r="H74" s="894"/>
      <c r="J74" s="892"/>
      <c r="K74" s="893"/>
      <c r="L74" s="893"/>
      <c r="M74" s="893"/>
      <c r="N74" s="893"/>
      <c r="O74" s="893"/>
      <c r="P74" s="893"/>
      <c r="Q74" s="893"/>
      <c r="R74" s="893"/>
      <c r="S74" s="893"/>
      <c r="T74" s="893"/>
      <c r="U74" s="893"/>
      <c r="V74" s="893"/>
      <c r="W74" s="893"/>
      <c r="X74" s="893"/>
      <c r="Y74" s="893"/>
      <c r="Z74" s="893"/>
      <c r="AA74" s="894"/>
      <c r="AC74" s="242"/>
    </row>
    <row r="75" spans="2:29" x14ac:dyDescent="0.25">
      <c r="B75" s="892"/>
      <c r="C75" s="893"/>
      <c r="D75" s="893"/>
      <c r="E75" s="893"/>
      <c r="F75" s="893"/>
      <c r="G75" s="893"/>
      <c r="H75" s="894"/>
      <c r="J75" s="892"/>
      <c r="K75" s="893"/>
      <c r="L75" s="893"/>
      <c r="M75" s="893"/>
      <c r="N75" s="893"/>
      <c r="O75" s="893"/>
      <c r="P75" s="893"/>
      <c r="Q75" s="893"/>
      <c r="R75" s="893"/>
      <c r="S75" s="893"/>
      <c r="T75" s="893"/>
      <c r="U75" s="893"/>
      <c r="V75" s="893"/>
      <c r="W75" s="893"/>
      <c r="X75" s="893"/>
      <c r="Y75" s="893"/>
      <c r="Z75" s="893"/>
      <c r="AA75" s="894"/>
      <c r="AC75" s="242"/>
    </row>
    <row r="76" spans="2:29" x14ac:dyDescent="0.25">
      <c r="B76" s="892"/>
      <c r="C76" s="893"/>
      <c r="D76" s="893"/>
      <c r="E76" s="893"/>
      <c r="F76" s="893"/>
      <c r="G76" s="893"/>
      <c r="H76" s="894"/>
      <c r="J76" s="892"/>
      <c r="K76" s="893"/>
      <c r="L76" s="893"/>
      <c r="M76" s="893"/>
      <c r="N76" s="893"/>
      <c r="O76" s="893"/>
      <c r="P76" s="893"/>
      <c r="Q76" s="893"/>
      <c r="R76" s="893"/>
      <c r="S76" s="893"/>
      <c r="T76" s="893"/>
      <c r="U76" s="893"/>
      <c r="V76" s="893"/>
      <c r="W76" s="893"/>
      <c r="X76" s="893"/>
      <c r="Y76" s="893"/>
      <c r="Z76" s="893"/>
      <c r="AA76" s="894"/>
      <c r="AC76" s="242"/>
    </row>
    <row r="77" spans="2:29" x14ac:dyDescent="0.25">
      <c r="B77" s="892"/>
      <c r="C77" s="893"/>
      <c r="D77" s="893"/>
      <c r="E77" s="893"/>
      <c r="F77" s="893"/>
      <c r="G77" s="893"/>
      <c r="H77" s="894"/>
      <c r="J77" s="892"/>
      <c r="K77" s="893"/>
      <c r="L77" s="893"/>
      <c r="M77" s="893"/>
      <c r="N77" s="893"/>
      <c r="O77" s="893"/>
      <c r="P77" s="893"/>
      <c r="Q77" s="893"/>
      <c r="R77" s="893"/>
      <c r="S77" s="893"/>
      <c r="T77" s="893"/>
      <c r="U77" s="893"/>
      <c r="V77" s="893"/>
      <c r="W77" s="893"/>
      <c r="X77" s="893"/>
      <c r="Y77" s="893"/>
      <c r="Z77" s="893"/>
      <c r="AA77" s="894"/>
      <c r="AC77" s="242"/>
    </row>
    <row r="78" spans="2:29" x14ac:dyDescent="0.25">
      <c r="B78" s="892"/>
      <c r="C78" s="893"/>
      <c r="D78" s="893"/>
      <c r="E78" s="893"/>
      <c r="F78" s="893"/>
      <c r="G78" s="893"/>
      <c r="H78" s="894"/>
      <c r="J78" s="892"/>
      <c r="K78" s="893"/>
      <c r="L78" s="893"/>
      <c r="M78" s="893"/>
      <c r="N78" s="893"/>
      <c r="O78" s="893"/>
      <c r="P78" s="893"/>
      <c r="Q78" s="893"/>
      <c r="R78" s="893"/>
      <c r="S78" s="893"/>
      <c r="T78" s="893"/>
      <c r="U78" s="893"/>
      <c r="V78" s="893"/>
      <c r="W78" s="893"/>
      <c r="X78" s="893"/>
      <c r="Y78" s="893"/>
      <c r="Z78" s="893"/>
      <c r="AA78" s="894"/>
      <c r="AC78" s="242"/>
    </row>
    <row r="79" spans="2:29" x14ac:dyDescent="0.25">
      <c r="B79" s="892"/>
      <c r="C79" s="893"/>
      <c r="D79" s="893"/>
      <c r="E79" s="893"/>
      <c r="F79" s="893"/>
      <c r="G79" s="893"/>
      <c r="H79" s="894"/>
      <c r="J79" s="892"/>
      <c r="K79" s="893"/>
      <c r="L79" s="893"/>
      <c r="M79" s="893"/>
      <c r="N79" s="893"/>
      <c r="O79" s="893"/>
      <c r="P79" s="893"/>
      <c r="Q79" s="893"/>
      <c r="R79" s="893"/>
      <c r="S79" s="893"/>
      <c r="T79" s="893"/>
      <c r="U79" s="893"/>
      <c r="V79" s="893"/>
      <c r="W79" s="893"/>
      <c r="X79" s="893"/>
      <c r="Y79" s="893"/>
      <c r="Z79" s="893"/>
      <c r="AA79" s="894"/>
      <c r="AC79" s="242"/>
    </row>
    <row r="80" spans="2:29" x14ac:dyDescent="0.25">
      <c r="B80" s="892"/>
      <c r="C80" s="893"/>
      <c r="D80" s="893"/>
      <c r="E80" s="893"/>
      <c r="F80" s="893"/>
      <c r="G80" s="893"/>
      <c r="H80" s="894"/>
      <c r="J80" s="892"/>
      <c r="K80" s="893"/>
      <c r="L80" s="893"/>
      <c r="M80" s="893"/>
      <c r="N80" s="893"/>
      <c r="O80" s="893"/>
      <c r="P80" s="893"/>
      <c r="Q80" s="893"/>
      <c r="R80" s="893"/>
      <c r="S80" s="893"/>
      <c r="T80" s="893"/>
      <c r="U80" s="893"/>
      <c r="V80" s="893"/>
      <c r="W80" s="893"/>
      <c r="X80" s="893"/>
      <c r="Y80" s="893"/>
      <c r="Z80" s="893"/>
      <c r="AA80" s="894"/>
      <c r="AC80" s="242"/>
    </row>
    <row r="81" spans="2:29" ht="17.25" thickBot="1" x14ac:dyDescent="0.3">
      <c r="B81" s="895"/>
      <c r="C81" s="896"/>
      <c r="D81" s="896"/>
      <c r="E81" s="896"/>
      <c r="F81" s="896"/>
      <c r="G81" s="896"/>
      <c r="H81" s="897"/>
      <c r="J81" s="895"/>
      <c r="K81" s="896"/>
      <c r="L81" s="896"/>
      <c r="M81" s="896"/>
      <c r="N81" s="896"/>
      <c r="O81" s="896"/>
      <c r="P81" s="896"/>
      <c r="Q81" s="896"/>
      <c r="R81" s="896"/>
      <c r="S81" s="896"/>
      <c r="T81" s="896"/>
      <c r="U81" s="896"/>
      <c r="V81" s="896"/>
      <c r="W81" s="896"/>
      <c r="X81" s="896"/>
      <c r="Y81" s="896"/>
      <c r="Z81" s="896"/>
      <c r="AA81" s="897"/>
      <c r="AC81" s="242"/>
    </row>
    <row r="82" spans="2:29" ht="17.25" thickBot="1" x14ac:dyDescent="0.3">
      <c r="B82" s="246"/>
      <c r="C82" s="246"/>
      <c r="D82" s="246"/>
      <c r="J82" s="239"/>
      <c r="AC82" s="242"/>
    </row>
    <row r="83" spans="2:29" s="32" customFormat="1" ht="18" thickBot="1" x14ac:dyDescent="0.3">
      <c r="B83" s="859" t="s">
        <v>371</v>
      </c>
      <c r="C83" s="860"/>
      <c r="D83" s="860"/>
      <c r="E83" s="860"/>
      <c r="F83" s="860"/>
      <c r="G83" s="860"/>
      <c r="H83" s="861"/>
      <c r="J83" s="859" t="s">
        <v>372</v>
      </c>
      <c r="K83" s="860"/>
      <c r="L83" s="860"/>
      <c r="M83" s="860"/>
      <c r="N83" s="860"/>
      <c r="O83" s="860"/>
      <c r="P83" s="860"/>
      <c r="Q83" s="860"/>
      <c r="R83" s="860"/>
      <c r="S83" s="860"/>
      <c r="T83" s="860"/>
      <c r="U83" s="860"/>
      <c r="V83" s="860"/>
      <c r="W83" s="860"/>
      <c r="X83" s="860"/>
      <c r="Y83" s="860"/>
      <c r="Z83" s="860"/>
      <c r="AA83" s="861"/>
      <c r="AC83" s="224"/>
    </row>
    <row r="84" spans="2:29" x14ac:dyDescent="0.25">
      <c r="B84" s="889"/>
      <c r="C84" s="890"/>
      <c r="D84" s="890"/>
      <c r="E84" s="890"/>
      <c r="F84" s="890"/>
      <c r="G84" s="890"/>
      <c r="H84" s="891"/>
      <c r="J84" s="880"/>
      <c r="K84" s="881"/>
      <c r="L84" s="881"/>
      <c r="M84" s="881"/>
      <c r="N84" s="881"/>
      <c r="O84" s="881"/>
      <c r="P84" s="881"/>
      <c r="Q84" s="881"/>
      <c r="R84" s="881"/>
      <c r="S84" s="881"/>
      <c r="T84" s="881"/>
      <c r="U84" s="881"/>
      <c r="V84" s="881"/>
      <c r="W84" s="881"/>
      <c r="X84" s="881"/>
      <c r="Y84" s="881"/>
      <c r="Z84" s="881"/>
      <c r="AA84" s="882"/>
      <c r="AC84" s="242"/>
    </row>
    <row r="85" spans="2:29" x14ac:dyDescent="0.25">
      <c r="B85" s="892"/>
      <c r="C85" s="893"/>
      <c r="D85" s="893"/>
      <c r="E85" s="893"/>
      <c r="F85" s="893"/>
      <c r="G85" s="893"/>
      <c r="H85" s="894"/>
      <c r="J85" s="883"/>
      <c r="K85" s="884"/>
      <c r="L85" s="884"/>
      <c r="M85" s="884"/>
      <c r="N85" s="884"/>
      <c r="O85" s="884"/>
      <c r="P85" s="884"/>
      <c r="Q85" s="884"/>
      <c r="R85" s="884"/>
      <c r="S85" s="884"/>
      <c r="T85" s="884"/>
      <c r="U85" s="884"/>
      <c r="V85" s="884"/>
      <c r="W85" s="884"/>
      <c r="X85" s="884"/>
      <c r="Y85" s="884"/>
      <c r="Z85" s="884"/>
      <c r="AA85" s="885"/>
      <c r="AC85" s="242"/>
    </row>
    <row r="86" spans="2:29" x14ac:dyDescent="0.25">
      <c r="B86" s="892"/>
      <c r="C86" s="893"/>
      <c r="D86" s="893"/>
      <c r="E86" s="893"/>
      <c r="F86" s="893"/>
      <c r="G86" s="893"/>
      <c r="H86" s="894"/>
      <c r="J86" s="883"/>
      <c r="K86" s="884"/>
      <c r="L86" s="884"/>
      <c r="M86" s="884"/>
      <c r="N86" s="884"/>
      <c r="O86" s="884"/>
      <c r="P86" s="884"/>
      <c r="Q86" s="884"/>
      <c r="R86" s="884"/>
      <c r="S86" s="884"/>
      <c r="T86" s="884"/>
      <c r="U86" s="884"/>
      <c r="V86" s="884"/>
      <c r="W86" s="884"/>
      <c r="X86" s="884"/>
      <c r="Y86" s="884"/>
      <c r="Z86" s="884"/>
      <c r="AA86" s="885"/>
      <c r="AC86" s="242"/>
    </row>
    <row r="87" spans="2:29" x14ac:dyDescent="0.25">
      <c r="B87" s="892"/>
      <c r="C87" s="893"/>
      <c r="D87" s="893"/>
      <c r="E87" s="893"/>
      <c r="F87" s="893"/>
      <c r="G87" s="893"/>
      <c r="H87" s="894"/>
      <c r="J87" s="883"/>
      <c r="K87" s="884"/>
      <c r="L87" s="884"/>
      <c r="M87" s="884"/>
      <c r="N87" s="884"/>
      <c r="O87" s="884"/>
      <c r="P87" s="884"/>
      <c r="Q87" s="884"/>
      <c r="R87" s="884"/>
      <c r="S87" s="884"/>
      <c r="T87" s="884"/>
      <c r="U87" s="884"/>
      <c r="V87" s="884"/>
      <c r="W87" s="884"/>
      <c r="X87" s="884"/>
      <c r="Y87" s="884"/>
      <c r="Z87" s="884"/>
      <c r="AA87" s="885"/>
      <c r="AC87" s="242"/>
    </row>
    <row r="88" spans="2:29" x14ac:dyDescent="0.25">
      <c r="B88" s="892"/>
      <c r="C88" s="893"/>
      <c r="D88" s="893"/>
      <c r="E88" s="893"/>
      <c r="F88" s="893"/>
      <c r="G88" s="893"/>
      <c r="H88" s="894"/>
      <c r="J88" s="883"/>
      <c r="K88" s="884"/>
      <c r="L88" s="884"/>
      <c r="M88" s="884"/>
      <c r="N88" s="884"/>
      <c r="O88" s="884"/>
      <c r="P88" s="884"/>
      <c r="Q88" s="884"/>
      <c r="R88" s="884"/>
      <c r="S88" s="884"/>
      <c r="T88" s="884"/>
      <c r="U88" s="884"/>
      <c r="V88" s="884"/>
      <c r="W88" s="884"/>
      <c r="X88" s="884"/>
      <c r="Y88" s="884"/>
      <c r="Z88" s="884"/>
      <c r="AA88" s="885"/>
      <c r="AC88" s="242"/>
    </row>
    <row r="89" spans="2:29" x14ac:dyDescent="0.25">
      <c r="B89" s="892"/>
      <c r="C89" s="893"/>
      <c r="D89" s="893"/>
      <c r="E89" s="893"/>
      <c r="F89" s="893"/>
      <c r="G89" s="893"/>
      <c r="H89" s="894"/>
      <c r="J89" s="883"/>
      <c r="K89" s="884"/>
      <c r="L89" s="884"/>
      <c r="M89" s="884"/>
      <c r="N89" s="884"/>
      <c r="O89" s="884"/>
      <c r="P89" s="884"/>
      <c r="Q89" s="884"/>
      <c r="R89" s="884"/>
      <c r="S89" s="884"/>
      <c r="T89" s="884"/>
      <c r="U89" s="884"/>
      <c r="V89" s="884"/>
      <c r="W89" s="884"/>
      <c r="X89" s="884"/>
      <c r="Y89" s="884"/>
      <c r="Z89" s="884"/>
      <c r="AA89" s="885"/>
      <c r="AC89" s="242"/>
    </row>
    <row r="90" spans="2:29" x14ac:dyDescent="0.25">
      <c r="B90" s="892"/>
      <c r="C90" s="893"/>
      <c r="D90" s="893"/>
      <c r="E90" s="893"/>
      <c r="F90" s="893"/>
      <c r="G90" s="893"/>
      <c r="H90" s="894"/>
      <c r="J90" s="883"/>
      <c r="K90" s="884"/>
      <c r="L90" s="884"/>
      <c r="M90" s="884"/>
      <c r="N90" s="884"/>
      <c r="O90" s="884"/>
      <c r="P90" s="884"/>
      <c r="Q90" s="884"/>
      <c r="R90" s="884"/>
      <c r="S90" s="884"/>
      <c r="T90" s="884"/>
      <c r="U90" s="884"/>
      <c r="V90" s="884"/>
      <c r="W90" s="884"/>
      <c r="X90" s="884"/>
      <c r="Y90" s="884"/>
      <c r="Z90" s="884"/>
      <c r="AA90" s="885"/>
      <c r="AC90" s="242"/>
    </row>
    <row r="91" spans="2:29" x14ac:dyDescent="0.25">
      <c r="B91" s="892"/>
      <c r="C91" s="893"/>
      <c r="D91" s="893"/>
      <c r="E91" s="893"/>
      <c r="F91" s="893"/>
      <c r="G91" s="893"/>
      <c r="H91" s="894"/>
      <c r="J91" s="883"/>
      <c r="K91" s="884"/>
      <c r="L91" s="884"/>
      <c r="M91" s="884"/>
      <c r="N91" s="884"/>
      <c r="O91" s="884"/>
      <c r="P91" s="884"/>
      <c r="Q91" s="884"/>
      <c r="R91" s="884"/>
      <c r="S91" s="884"/>
      <c r="T91" s="884"/>
      <c r="U91" s="884"/>
      <c r="V91" s="884"/>
      <c r="W91" s="884"/>
      <c r="X91" s="884"/>
      <c r="Y91" s="884"/>
      <c r="Z91" s="884"/>
      <c r="AA91" s="885"/>
      <c r="AC91" s="242"/>
    </row>
    <row r="92" spans="2:29" x14ac:dyDescent="0.25">
      <c r="B92" s="892"/>
      <c r="C92" s="893"/>
      <c r="D92" s="893"/>
      <c r="E92" s="893"/>
      <c r="F92" s="893"/>
      <c r="G92" s="893"/>
      <c r="H92" s="894"/>
      <c r="J92" s="883"/>
      <c r="K92" s="884"/>
      <c r="L92" s="884"/>
      <c r="M92" s="884"/>
      <c r="N92" s="884"/>
      <c r="O92" s="884"/>
      <c r="P92" s="884"/>
      <c r="Q92" s="884"/>
      <c r="R92" s="884"/>
      <c r="S92" s="884"/>
      <c r="T92" s="884"/>
      <c r="U92" s="884"/>
      <c r="V92" s="884"/>
      <c r="W92" s="884"/>
      <c r="X92" s="884"/>
      <c r="Y92" s="884"/>
      <c r="Z92" s="884"/>
      <c r="AA92" s="885"/>
      <c r="AC92" s="242"/>
    </row>
    <row r="93" spans="2:29" x14ac:dyDescent="0.25">
      <c r="B93" s="892"/>
      <c r="C93" s="893"/>
      <c r="D93" s="893"/>
      <c r="E93" s="893"/>
      <c r="F93" s="893"/>
      <c r="G93" s="893"/>
      <c r="H93" s="894"/>
      <c r="J93" s="883"/>
      <c r="K93" s="884"/>
      <c r="L93" s="884"/>
      <c r="M93" s="884"/>
      <c r="N93" s="884"/>
      <c r="O93" s="884"/>
      <c r="P93" s="884"/>
      <c r="Q93" s="884"/>
      <c r="R93" s="884"/>
      <c r="S93" s="884"/>
      <c r="T93" s="884"/>
      <c r="U93" s="884"/>
      <c r="V93" s="884"/>
      <c r="W93" s="884"/>
      <c r="X93" s="884"/>
      <c r="Y93" s="884"/>
      <c r="Z93" s="884"/>
      <c r="AA93" s="885"/>
      <c r="AC93" s="242"/>
    </row>
    <row r="94" spans="2:29" x14ac:dyDescent="0.25">
      <c r="B94" s="892"/>
      <c r="C94" s="893"/>
      <c r="D94" s="893"/>
      <c r="E94" s="893"/>
      <c r="F94" s="893"/>
      <c r="G94" s="893"/>
      <c r="H94" s="894"/>
      <c r="J94" s="883"/>
      <c r="K94" s="884"/>
      <c r="L94" s="884"/>
      <c r="M94" s="884"/>
      <c r="N94" s="884"/>
      <c r="O94" s="884"/>
      <c r="P94" s="884"/>
      <c r="Q94" s="884"/>
      <c r="R94" s="884"/>
      <c r="S94" s="884"/>
      <c r="T94" s="884"/>
      <c r="U94" s="884"/>
      <c r="V94" s="884"/>
      <c r="W94" s="884"/>
      <c r="X94" s="884"/>
      <c r="Y94" s="884"/>
      <c r="Z94" s="884"/>
      <c r="AA94" s="885"/>
      <c r="AC94" s="242"/>
    </row>
    <row r="95" spans="2:29" x14ac:dyDescent="0.25">
      <c r="B95" s="892"/>
      <c r="C95" s="893"/>
      <c r="D95" s="893"/>
      <c r="E95" s="893"/>
      <c r="F95" s="893"/>
      <c r="G95" s="893"/>
      <c r="H95" s="894"/>
      <c r="J95" s="883"/>
      <c r="K95" s="884"/>
      <c r="L95" s="884"/>
      <c r="M95" s="884"/>
      <c r="N95" s="884"/>
      <c r="O95" s="884"/>
      <c r="P95" s="884"/>
      <c r="Q95" s="884"/>
      <c r="R95" s="884"/>
      <c r="S95" s="884"/>
      <c r="T95" s="884"/>
      <c r="U95" s="884"/>
      <c r="V95" s="884"/>
      <c r="W95" s="884"/>
      <c r="X95" s="884"/>
      <c r="Y95" s="884"/>
      <c r="Z95" s="884"/>
      <c r="AA95" s="885"/>
      <c r="AC95" s="242"/>
    </row>
    <row r="96" spans="2:29" x14ac:dyDescent="0.25">
      <c r="B96" s="892"/>
      <c r="C96" s="893"/>
      <c r="D96" s="893"/>
      <c r="E96" s="893"/>
      <c r="F96" s="893"/>
      <c r="G96" s="893"/>
      <c r="H96" s="894"/>
      <c r="J96" s="883"/>
      <c r="K96" s="884"/>
      <c r="L96" s="884"/>
      <c r="M96" s="884"/>
      <c r="N96" s="884"/>
      <c r="O96" s="884"/>
      <c r="P96" s="884"/>
      <c r="Q96" s="884"/>
      <c r="R96" s="884"/>
      <c r="S96" s="884"/>
      <c r="T96" s="884"/>
      <c r="U96" s="884"/>
      <c r="V96" s="884"/>
      <c r="W96" s="884"/>
      <c r="X96" s="884"/>
      <c r="Y96" s="884"/>
      <c r="Z96" s="884"/>
      <c r="AA96" s="885"/>
      <c r="AC96" s="242"/>
    </row>
    <row r="97" spans="2:29" x14ac:dyDescent="0.25">
      <c r="B97" s="892"/>
      <c r="C97" s="893"/>
      <c r="D97" s="893"/>
      <c r="E97" s="893"/>
      <c r="F97" s="893"/>
      <c r="G97" s="893"/>
      <c r="H97" s="894"/>
      <c r="J97" s="883"/>
      <c r="K97" s="884"/>
      <c r="L97" s="884"/>
      <c r="M97" s="884"/>
      <c r="N97" s="884"/>
      <c r="O97" s="884"/>
      <c r="P97" s="884"/>
      <c r="Q97" s="884"/>
      <c r="R97" s="884"/>
      <c r="S97" s="884"/>
      <c r="T97" s="884"/>
      <c r="U97" s="884"/>
      <c r="V97" s="884"/>
      <c r="W97" s="884"/>
      <c r="X97" s="884"/>
      <c r="Y97" s="884"/>
      <c r="Z97" s="884"/>
      <c r="AA97" s="885"/>
      <c r="AC97" s="242"/>
    </row>
    <row r="98" spans="2:29" x14ac:dyDescent="0.25">
      <c r="B98" s="892"/>
      <c r="C98" s="893"/>
      <c r="D98" s="893"/>
      <c r="E98" s="893"/>
      <c r="F98" s="893"/>
      <c r="G98" s="893"/>
      <c r="H98" s="894"/>
      <c r="J98" s="883"/>
      <c r="K98" s="884"/>
      <c r="L98" s="884"/>
      <c r="M98" s="884"/>
      <c r="N98" s="884"/>
      <c r="O98" s="884"/>
      <c r="P98" s="884"/>
      <c r="Q98" s="884"/>
      <c r="R98" s="884"/>
      <c r="S98" s="884"/>
      <c r="T98" s="884"/>
      <c r="U98" s="884"/>
      <c r="V98" s="884"/>
      <c r="W98" s="884"/>
      <c r="X98" s="884"/>
      <c r="Y98" s="884"/>
      <c r="Z98" s="884"/>
      <c r="AA98" s="885"/>
      <c r="AC98" s="242"/>
    </row>
    <row r="99" spans="2:29" x14ac:dyDescent="0.25">
      <c r="B99" s="892"/>
      <c r="C99" s="893"/>
      <c r="D99" s="893"/>
      <c r="E99" s="893"/>
      <c r="F99" s="893"/>
      <c r="G99" s="893"/>
      <c r="H99" s="894"/>
      <c r="J99" s="883"/>
      <c r="K99" s="884"/>
      <c r="L99" s="884"/>
      <c r="M99" s="884"/>
      <c r="N99" s="884"/>
      <c r="O99" s="884"/>
      <c r="P99" s="884"/>
      <c r="Q99" s="884"/>
      <c r="R99" s="884"/>
      <c r="S99" s="884"/>
      <c r="T99" s="884"/>
      <c r="U99" s="884"/>
      <c r="V99" s="884"/>
      <c r="W99" s="884"/>
      <c r="X99" s="884"/>
      <c r="Y99" s="884"/>
      <c r="Z99" s="884"/>
      <c r="AA99" s="885"/>
      <c r="AC99" s="242"/>
    </row>
    <row r="100" spans="2:29" x14ac:dyDescent="0.25">
      <c r="B100" s="892"/>
      <c r="C100" s="893"/>
      <c r="D100" s="893"/>
      <c r="E100" s="893"/>
      <c r="F100" s="893"/>
      <c r="G100" s="893"/>
      <c r="H100" s="894"/>
      <c r="J100" s="883"/>
      <c r="K100" s="884"/>
      <c r="L100" s="884"/>
      <c r="M100" s="884"/>
      <c r="N100" s="884"/>
      <c r="O100" s="884"/>
      <c r="P100" s="884"/>
      <c r="Q100" s="884"/>
      <c r="R100" s="884"/>
      <c r="S100" s="884"/>
      <c r="T100" s="884"/>
      <c r="U100" s="884"/>
      <c r="V100" s="884"/>
      <c r="W100" s="884"/>
      <c r="X100" s="884"/>
      <c r="Y100" s="884"/>
      <c r="Z100" s="884"/>
      <c r="AA100" s="885"/>
      <c r="AC100" s="242"/>
    </row>
    <row r="101" spans="2:29" x14ac:dyDescent="0.25">
      <c r="B101" s="892"/>
      <c r="C101" s="893"/>
      <c r="D101" s="893"/>
      <c r="E101" s="893"/>
      <c r="F101" s="893"/>
      <c r="G101" s="893"/>
      <c r="H101" s="894"/>
      <c r="J101" s="883"/>
      <c r="K101" s="884"/>
      <c r="L101" s="884"/>
      <c r="M101" s="884"/>
      <c r="N101" s="884"/>
      <c r="O101" s="884"/>
      <c r="P101" s="884"/>
      <c r="Q101" s="884"/>
      <c r="R101" s="884"/>
      <c r="S101" s="884"/>
      <c r="T101" s="884"/>
      <c r="U101" s="884"/>
      <c r="V101" s="884"/>
      <c r="W101" s="884"/>
      <c r="X101" s="884"/>
      <c r="Y101" s="884"/>
      <c r="Z101" s="884"/>
      <c r="AA101" s="885"/>
      <c r="AC101" s="242"/>
    </row>
    <row r="102" spans="2:29" x14ac:dyDescent="0.25">
      <c r="B102" s="892"/>
      <c r="C102" s="893"/>
      <c r="D102" s="893"/>
      <c r="E102" s="893"/>
      <c r="F102" s="893"/>
      <c r="G102" s="893"/>
      <c r="H102" s="894"/>
      <c r="J102" s="883"/>
      <c r="K102" s="884"/>
      <c r="L102" s="884"/>
      <c r="M102" s="884"/>
      <c r="N102" s="884"/>
      <c r="O102" s="884"/>
      <c r="P102" s="884"/>
      <c r="Q102" s="884"/>
      <c r="R102" s="884"/>
      <c r="S102" s="884"/>
      <c r="T102" s="884"/>
      <c r="U102" s="884"/>
      <c r="V102" s="884"/>
      <c r="W102" s="884"/>
      <c r="X102" s="884"/>
      <c r="Y102" s="884"/>
      <c r="Z102" s="884"/>
      <c r="AA102" s="885"/>
      <c r="AC102" s="242"/>
    </row>
    <row r="103" spans="2:29" x14ac:dyDescent="0.25">
      <c r="B103" s="892"/>
      <c r="C103" s="893"/>
      <c r="D103" s="893"/>
      <c r="E103" s="893"/>
      <c r="F103" s="893"/>
      <c r="G103" s="893"/>
      <c r="H103" s="894"/>
      <c r="J103" s="883"/>
      <c r="K103" s="884"/>
      <c r="L103" s="884"/>
      <c r="M103" s="884"/>
      <c r="N103" s="884"/>
      <c r="O103" s="884"/>
      <c r="P103" s="884"/>
      <c r="Q103" s="884"/>
      <c r="R103" s="884"/>
      <c r="S103" s="884"/>
      <c r="T103" s="884"/>
      <c r="U103" s="884"/>
      <c r="V103" s="884"/>
      <c r="W103" s="884"/>
      <c r="X103" s="884"/>
      <c r="Y103" s="884"/>
      <c r="Z103" s="884"/>
      <c r="AA103" s="885"/>
      <c r="AC103" s="242"/>
    </row>
    <row r="104" spans="2:29" x14ac:dyDescent="0.25">
      <c r="B104" s="892"/>
      <c r="C104" s="893"/>
      <c r="D104" s="893"/>
      <c r="E104" s="893"/>
      <c r="F104" s="893"/>
      <c r="G104" s="893"/>
      <c r="H104" s="894"/>
      <c r="J104" s="883"/>
      <c r="K104" s="884"/>
      <c r="L104" s="884"/>
      <c r="M104" s="884"/>
      <c r="N104" s="884"/>
      <c r="O104" s="884"/>
      <c r="P104" s="884"/>
      <c r="Q104" s="884"/>
      <c r="R104" s="884"/>
      <c r="S104" s="884"/>
      <c r="T104" s="884"/>
      <c r="U104" s="884"/>
      <c r="V104" s="884"/>
      <c r="W104" s="884"/>
      <c r="X104" s="884"/>
      <c r="Y104" s="884"/>
      <c r="Z104" s="884"/>
      <c r="AA104" s="885"/>
      <c r="AC104" s="242"/>
    </row>
    <row r="105" spans="2:29" ht="17.25" thickBot="1" x14ac:dyDescent="0.3">
      <c r="B105" s="895"/>
      <c r="C105" s="896"/>
      <c r="D105" s="896"/>
      <c r="E105" s="896"/>
      <c r="F105" s="896"/>
      <c r="G105" s="896"/>
      <c r="H105" s="897"/>
      <c r="J105" s="886"/>
      <c r="K105" s="887"/>
      <c r="L105" s="887"/>
      <c r="M105" s="887"/>
      <c r="N105" s="887"/>
      <c r="O105" s="887"/>
      <c r="P105" s="887"/>
      <c r="Q105" s="887"/>
      <c r="R105" s="887"/>
      <c r="S105" s="887"/>
      <c r="T105" s="887"/>
      <c r="U105" s="887"/>
      <c r="V105" s="887"/>
      <c r="W105" s="887"/>
      <c r="X105" s="887"/>
      <c r="Y105" s="887"/>
      <c r="Z105" s="887"/>
      <c r="AA105" s="888"/>
      <c r="AC105" s="242"/>
    </row>
    <row r="106" spans="2:29" ht="17.25" thickBot="1" x14ac:dyDescent="0.3">
      <c r="J106" s="239"/>
      <c r="AC106" s="242"/>
    </row>
    <row r="107" spans="2:29" s="32" customFormat="1" ht="18" thickBot="1" x14ac:dyDescent="0.3">
      <c r="B107" s="859" t="s">
        <v>373</v>
      </c>
      <c r="C107" s="860"/>
      <c r="D107" s="860"/>
      <c r="E107" s="860"/>
      <c r="F107" s="860"/>
      <c r="G107" s="860"/>
      <c r="H107" s="861"/>
      <c r="J107" s="31"/>
      <c r="AC107" s="224"/>
    </row>
    <row r="108" spans="2:29" x14ac:dyDescent="0.25">
      <c r="B108" s="889"/>
      <c r="C108" s="890"/>
      <c r="D108" s="890"/>
      <c r="E108" s="890"/>
      <c r="F108" s="890"/>
      <c r="G108" s="890"/>
      <c r="H108" s="891"/>
      <c r="J108" s="239"/>
      <c r="AC108" s="242"/>
    </row>
    <row r="109" spans="2:29" x14ac:dyDescent="0.25">
      <c r="B109" s="892"/>
      <c r="C109" s="893"/>
      <c r="D109" s="893"/>
      <c r="E109" s="893"/>
      <c r="F109" s="893"/>
      <c r="G109" s="893"/>
      <c r="H109" s="894"/>
      <c r="J109" s="239"/>
      <c r="AC109" s="242"/>
    </row>
    <row r="110" spans="2:29" x14ac:dyDescent="0.25">
      <c r="B110" s="892"/>
      <c r="C110" s="893"/>
      <c r="D110" s="893"/>
      <c r="E110" s="893"/>
      <c r="F110" s="893"/>
      <c r="G110" s="893"/>
      <c r="H110" s="894"/>
      <c r="J110" s="239"/>
      <c r="AC110" s="242"/>
    </row>
    <row r="111" spans="2:29" x14ac:dyDescent="0.25">
      <c r="B111" s="892"/>
      <c r="C111" s="893"/>
      <c r="D111" s="893"/>
      <c r="E111" s="893"/>
      <c r="F111" s="893"/>
      <c r="G111" s="893"/>
      <c r="H111" s="894"/>
      <c r="J111" s="239"/>
      <c r="AC111" s="242"/>
    </row>
    <row r="112" spans="2:29" x14ac:dyDescent="0.25">
      <c r="B112" s="892"/>
      <c r="C112" s="893"/>
      <c r="D112" s="893"/>
      <c r="E112" s="893"/>
      <c r="F112" s="893"/>
      <c r="G112" s="893"/>
      <c r="H112" s="894"/>
      <c r="J112" s="239"/>
      <c r="AC112" s="242"/>
    </row>
    <row r="113" spans="2:29" x14ac:dyDescent="0.25">
      <c r="B113" s="892"/>
      <c r="C113" s="893"/>
      <c r="D113" s="893"/>
      <c r="E113" s="893"/>
      <c r="F113" s="893"/>
      <c r="G113" s="893"/>
      <c r="H113" s="894"/>
      <c r="J113" s="239"/>
      <c r="AC113" s="242"/>
    </row>
    <row r="114" spans="2:29" x14ac:dyDescent="0.25">
      <c r="B114" s="892"/>
      <c r="C114" s="893"/>
      <c r="D114" s="893"/>
      <c r="E114" s="893"/>
      <c r="F114" s="893"/>
      <c r="G114" s="893"/>
      <c r="H114" s="894"/>
      <c r="J114" s="239"/>
      <c r="AC114" s="242"/>
    </row>
    <row r="115" spans="2:29" x14ac:dyDescent="0.25">
      <c r="B115" s="892"/>
      <c r="C115" s="893"/>
      <c r="D115" s="893"/>
      <c r="E115" s="893"/>
      <c r="F115" s="893"/>
      <c r="G115" s="893"/>
      <c r="H115" s="894"/>
      <c r="J115" s="239"/>
      <c r="AC115" s="242"/>
    </row>
    <row r="116" spans="2:29" x14ac:dyDescent="0.25">
      <c r="B116" s="892"/>
      <c r="C116" s="893"/>
      <c r="D116" s="893"/>
      <c r="E116" s="893"/>
      <c r="F116" s="893"/>
      <c r="G116" s="893"/>
      <c r="H116" s="894"/>
      <c r="J116" s="239"/>
      <c r="AC116" s="242"/>
    </row>
    <row r="117" spans="2:29" x14ac:dyDescent="0.25">
      <c r="B117" s="892"/>
      <c r="C117" s="893"/>
      <c r="D117" s="893"/>
      <c r="E117" s="893"/>
      <c r="F117" s="893"/>
      <c r="G117" s="893"/>
      <c r="H117" s="894"/>
      <c r="J117" s="239"/>
      <c r="AC117" s="242"/>
    </row>
    <row r="118" spans="2:29" x14ac:dyDescent="0.25">
      <c r="B118" s="892"/>
      <c r="C118" s="893"/>
      <c r="D118" s="893"/>
      <c r="E118" s="893"/>
      <c r="F118" s="893"/>
      <c r="G118" s="893"/>
      <c r="H118" s="894"/>
      <c r="J118" s="239"/>
      <c r="AC118" s="242"/>
    </row>
    <row r="119" spans="2:29" x14ac:dyDescent="0.25">
      <c r="B119" s="892"/>
      <c r="C119" s="893"/>
      <c r="D119" s="893"/>
      <c r="E119" s="893"/>
      <c r="F119" s="893"/>
      <c r="G119" s="893"/>
      <c r="H119" s="894"/>
      <c r="J119" s="239"/>
      <c r="AC119" s="242"/>
    </row>
    <row r="120" spans="2:29" x14ac:dyDescent="0.25">
      <c r="B120" s="892"/>
      <c r="C120" s="893"/>
      <c r="D120" s="893"/>
      <c r="E120" s="893"/>
      <c r="F120" s="893"/>
      <c r="G120" s="893"/>
      <c r="H120" s="894"/>
      <c r="J120" s="239"/>
      <c r="AC120" s="242"/>
    </row>
    <row r="121" spans="2:29" x14ac:dyDescent="0.25">
      <c r="B121" s="892"/>
      <c r="C121" s="893"/>
      <c r="D121" s="893"/>
      <c r="E121" s="893"/>
      <c r="F121" s="893"/>
      <c r="G121" s="893"/>
      <c r="H121" s="894"/>
      <c r="J121" s="239"/>
      <c r="AC121" s="242"/>
    </row>
    <row r="122" spans="2:29" x14ac:dyDescent="0.25">
      <c r="B122" s="892"/>
      <c r="C122" s="893"/>
      <c r="D122" s="893"/>
      <c r="E122" s="893"/>
      <c r="F122" s="893"/>
      <c r="G122" s="893"/>
      <c r="H122" s="894"/>
      <c r="J122" s="239"/>
      <c r="AC122" s="242"/>
    </row>
    <row r="123" spans="2:29" x14ac:dyDescent="0.25">
      <c r="B123" s="892"/>
      <c r="C123" s="893"/>
      <c r="D123" s="893"/>
      <c r="E123" s="893"/>
      <c r="F123" s="893"/>
      <c r="G123" s="893"/>
      <c r="H123" s="894"/>
      <c r="J123" s="239"/>
      <c r="AC123" s="242"/>
    </row>
    <row r="124" spans="2:29" x14ac:dyDescent="0.25">
      <c r="B124" s="892"/>
      <c r="C124" s="893"/>
      <c r="D124" s="893"/>
      <c r="E124" s="893"/>
      <c r="F124" s="893"/>
      <c r="G124" s="893"/>
      <c r="H124" s="894"/>
      <c r="J124" s="239"/>
      <c r="AC124" s="242"/>
    </row>
    <row r="125" spans="2:29" x14ac:dyDescent="0.25">
      <c r="B125" s="892"/>
      <c r="C125" s="893"/>
      <c r="D125" s="893"/>
      <c r="E125" s="893"/>
      <c r="F125" s="893"/>
      <c r="G125" s="893"/>
      <c r="H125" s="894"/>
      <c r="J125" s="239"/>
      <c r="AC125" s="242"/>
    </row>
    <row r="126" spans="2:29" x14ac:dyDescent="0.25">
      <c r="B126" s="892"/>
      <c r="C126" s="893"/>
      <c r="D126" s="893"/>
      <c r="E126" s="893"/>
      <c r="F126" s="893"/>
      <c r="G126" s="893"/>
      <c r="H126" s="894"/>
      <c r="J126" s="239"/>
      <c r="AC126" s="242"/>
    </row>
    <row r="127" spans="2:29" x14ac:dyDescent="0.25">
      <c r="B127" s="892"/>
      <c r="C127" s="893"/>
      <c r="D127" s="893"/>
      <c r="E127" s="893"/>
      <c r="F127" s="893"/>
      <c r="G127" s="893"/>
      <c r="H127" s="894"/>
      <c r="J127" s="239"/>
      <c r="AC127" s="242"/>
    </row>
    <row r="128" spans="2:29" x14ac:dyDescent="0.25">
      <c r="B128" s="892"/>
      <c r="C128" s="893"/>
      <c r="D128" s="893"/>
      <c r="E128" s="893"/>
      <c r="F128" s="893"/>
      <c r="G128" s="893"/>
      <c r="H128" s="894"/>
      <c r="J128" s="239"/>
      <c r="AC128" s="242"/>
    </row>
    <row r="129" spans="2:29" ht="17.25" thickBot="1" x14ac:dyDescent="0.3">
      <c r="B129" s="895"/>
      <c r="C129" s="896"/>
      <c r="D129" s="896"/>
      <c r="E129" s="896"/>
      <c r="F129" s="896"/>
      <c r="G129" s="896"/>
      <c r="H129" s="897"/>
      <c r="J129" s="239"/>
      <c r="AC129" s="242"/>
    </row>
    <row r="130" spans="2:29" ht="17.25" thickBot="1" x14ac:dyDescent="0.3">
      <c r="J130" s="239"/>
      <c r="AC130" s="242"/>
    </row>
    <row r="131" spans="2:29" s="32" customFormat="1" ht="21.75" customHeight="1" thickBot="1" x14ac:dyDescent="0.3">
      <c r="B131" s="898" t="s">
        <v>374</v>
      </c>
      <c r="C131" s="899"/>
      <c r="D131" s="899"/>
      <c r="E131" s="899"/>
      <c r="F131" s="899"/>
      <c r="G131" s="899"/>
      <c r="H131" s="900"/>
      <c r="J131" s="859" t="s">
        <v>385</v>
      </c>
      <c r="K131" s="860"/>
      <c r="L131" s="860"/>
      <c r="M131" s="860"/>
      <c r="N131" s="860"/>
      <c r="O131" s="860"/>
      <c r="P131" s="860"/>
      <c r="Q131" s="860"/>
      <c r="R131" s="860"/>
      <c r="S131" s="860"/>
      <c r="T131" s="860"/>
      <c r="U131" s="860"/>
      <c r="V131" s="860"/>
      <c r="W131" s="860"/>
      <c r="X131" s="860"/>
      <c r="Y131" s="860"/>
      <c r="Z131" s="860"/>
      <c r="AA131" s="861"/>
      <c r="AC131" s="224"/>
    </row>
    <row r="132" spans="2:29" x14ac:dyDescent="0.25">
      <c r="B132" s="889"/>
      <c r="C132" s="890"/>
      <c r="D132" s="890"/>
      <c r="E132" s="890"/>
      <c r="F132" s="890"/>
      <c r="G132" s="890"/>
      <c r="H132" s="891"/>
      <c r="J132" s="889"/>
      <c r="K132" s="890"/>
      <c r="L132" s="890"/>
      <c r="M132" s="890"/>
      <c r="N132" s="890"/>
      <c r="O132" s="890"/>
      <c r="P132" s="890"/>
      <c r="Q132" s="890"/>
      <c r="R132" s="890"/>
      <c r="S132" s="890"/>
      <c r="T132" s="890"/>
      <c r="U132" s="890"/>
      <c r="V132" s="890"/>
      <c r="W132" s="890"/>
      <c r="X132" s="890"/>
      <c r="Y132" s="890"/>
      <c r="Z132" s="890"/>
      <c r="AA132" s="891"/>
      <c r="AC132" s="242"/>
    </row>
    <row r="133" spans="2:29" x14ac:dyDescent="0.25">
      <c r="B133" s="892"/>
      <c r="C133" s="893"/>
      <c r="D133" s="893"/>
      <c r="E133" s="893"/>
      <c r="F133" s="893"/>
      <c r="G133" s="893"/>
      <c r="H133" s="894"/>
      <c r="J133" s="892"/>
      <c r="K133" s="893"/>
      <c r="L133" s="893"/>
      <c r="M133" s="893"/>
      <c r="N133" s="893"/>
      <c r="O133" s="893"/>
      <c r="P133" s="893"/>
      <c r="Q133" s="893"/>
      <c r="R133" s="893"/>
      <c r="S133" s="893"/>
      <c r="T133" s="893"/>
      <c r="U133" s="893"/>
      <c r="V133" s="893"/>
      <c r="W133" s="893"/>
      <c r="X133" s="893"/>
      <c r="Y133" s="893"/>
      <c r="Z133" s="893"/>
      <c r="AA133" s="894"/>
      <c r="AC133" s="242"/>
    </row>
    <row r="134" spans="2:29" x14ac:dyDescent="0.25">
      <c r="B134" s="892"/>
      <c r="C134" s="893"/>
      <c r="D134" s="893"/>
      <c r="E134" s="893"/>
      <c r="F134" s="893"/>
      <c r="G134" s="893"/>
      <c r="H134" s="894"/>
      <c r="J134" s="892"/>
      <c r="K134" s="893"/>
      <c r="L134" s="893"/>
      <c r="M134" s="893"/>
      <c r="N134" s="893"/>
      <c r="O134" s="893"/>
      <c r="P134" s="893"/>
      <c r="Q134" s="893"/>
      <c r="R134" s="893"/>
      <c r="S134" s="893"/>
      <c r="T134" s="893"/>
      <c r="U134" s="893"/>
      <c r="V134" s="893"/>
      <c r="W134" s="893"/>
      <c r="X134" s="893"/>
      <c r="Y134" s="893"/>
      <c r="Z134" s="893"/>
      <c r="AA134" s="894"/>
      <c r="AC134" s="242"/>
    </row>
    <row r="135" spans="2:29" x14ac:dyDescent="0.25">
      <c r="B135" s="892"/>
      <c r="C135" s="893"/>
      <c r="D135" s="893"/>
      <c r="E135" s="893"/>
      <c r="F135" s="893"/>
      <c r="G135" s="893"/>
      <c r="H135" s="894"/>
      <c r="J135" s="892"/>
      <c r="K135" s="893"/>
      <c r="L135" s="893"/>
      <c r="M135" s="893"/>
      <c r="N135" s="893"/>
      <c r="O135" s="893"/>
      <c r="P135" s="893"/>
      <c r="Q135" s="893"/>
      <c r="R135" s="893"/>
      <c r="S135" s="893"/>
      <c r="T135" s="893"/>
      <c r="U135" s="893"/>
      <c r="V135" s="893"/>
      <c r="W135" s="893"/>
      <c r="X135" s="893"/>
      <c r="Y135" s="893"/>
      <c r="Z135" s="893"/>
      <c r="AA135" s="894"/>
      <c r="AC135" s="242"/>
    </row>
    <row r="136" spans="2:29" x14ac:dyDescent="0.25">
      <c r="B136" s="892"/>
      <c r="C136" s="893"/>
      <c r="D136" s="893"/>
      <c r="E136" s="893"/>
      <c r="F136" s="893"/>
      <c r="G136" s="893"/>
      <c r="H136" s="894"/>
      <c r="J136" s="892"/>
      <c r="K136" s="893"/>
      <c r="L136" s="893"/>
      <c r="M136" s="893"/>
      <c r="N136" s="893"/>
      <c r="O136" s="893"/>
      <c r="P136" s="893"/>
      <c r="Q136" s="893"/>
      <c r="R136" s="893"/>
      <c r="S136" s="893"/>
      <c r="T136" s="893"/>
      <c r="U136" s="893"/>
      <c r="V136" s="893"/>
      <c r="W136" s="893"/>
      <c r="X136" s="893"/>
      <c r="Y136" s="893"/>
      <c r="Z136" s="893"/>
      <c r="AA136" s="894"/>
      <c r="AC136" s="242"/>
    </row>
    <row r="137" spans="2:29" x14ac:dyDescent="0.25">
      <c r="B137" s="892"/>
      <c r="C137" s="893"/>
      <c r="D137" s="893"/>
      <c r="E137" s="893"/>
      <c r="F137" s="893"/>
      <c r="G137" s="893"/>
      <c r="H137" s="894"/>
      <c r="J137" s="892"/>
      <c r="K137" s="893"/>
      <c r="L137" s="893"/>
      <c r="M137" s="893"/>
      <c r="N137" s="893"/>
      <c r="O137" s="893"/>
      <c r="P137" s="893"/>
      <c r="Q137" s="893"/>
      <c r="R137" s="893"/>
      <c r="S137" s="893"/>
      <c r="T137" s="893"/>
      <c r="U137" s="893"/>
      <c r="V137" s="893"/>
      <c r="W137" s="893"/>
      <c r="X137" s="893"/>
      <c r="Y137" s="893"/>
      <c r="Z137" s="893"/>
      <c r="AA137" s="894"/>
      <c r="AC137" s="242"/>
    </row>
    <row r="138" spans="2:29" x14ac:dyDescent="0.25">
      <c r="B138" s="892"/>
      <c r="C138" s="893"/>
      <c r="D138" s="893"/>
      <c r="E138" s="893"/>
      <c r="F138" s="893"/>
      <c r="G138" s="893"/>
      <c r="H138" s="894"/>
      <c r="J138" s="892"/>
      <c r="K138" s="893"/>
      <c r="L138" s="893"/>
      <c r="M138" s="893"/>
      <c r="N138" s="893"/>
      <c r="O138" s="893"/>
      <c r="P138" s="893"/>
      <c r="Q138" s="893"/>
      <c r="R138" s="893"/>
      <c r="S138" s="893"/>
      <c r="T138" s="893"/>
      <c r="U138" s="893"/>
      <c r="V138" s="893"/>
      <c r="W138" s="893"/>
      <c r="X138" s="893"/>
      <c r="Y138" s="893"/>
      <c r="Z138" s="893"/>
      <c r="AA138" s="894"/>
      <c r="AC138" s="242"/>
    </row>
    <row r="139" spans="2:29" x14ac:dyDescent="0.25">
      <c r="B139" s="892"/>
      <c r="C139" s="893"/>
      <c r="D139" s="893"/>
      <c r="E139" s="893"/>
      <c r="F139" s="893"/>
      <c r="G139" s="893"/>
      <c r="H139" s="894"/>
      <c r="J139" s="892"/>
      <c r="K139" s="893"/>
      <c r="L139" s="893"/>
      <c r="M139" s="893"/>
      <c r="N139" s="893"/>
      <c r="O139" s="893"/>
      <c r="P139" s="893"/>
      <c r="Q139" s="893"/>
      <c r="R139" s="893"/>
      <c r="S139" s="893"/>
      <c r="T139" s="893"/>
      <c r="U139" s="893"/>
      <c r="V139" s="893"/>
      <c r="W139" s="893"/>
      <c r="X139" s="893"/>
      <c r="Y139" s="893"/>
      <c r="Z139" s="893"/>
      <c r="AA139" s="894"/>
      <c r="AC139" s="242"/>
    </row>
    <row r="140" spans="2:29" x14ac:dyDescent="0.25">
      <c r="B140" s="892"/>
      <c r="C140" s="893"/>
      <c r="D140" s="893"/>
      <c r="E140" s="893"/>
      <c r="F140" s="893"/>
      <c r="G140" s="893"/>
      <c r="H140" s="894"/>
      <c r="J140" s="892"/>
      <c r="K140" s="893"/>
      <c r="L140" s="893"/>
      <c r="M140" s="893"/>
      <c r="N140" s="893"/>
      <c r="O140" s="893"/>
      <c r="P140" s="893"/>
      <c r="Q140" s="893"/>
      <c r="R140" s="893"/>
      <c r="S140" s="893"/>
      <c r="T140" s="893"/>
      <c r="U140" s="893"/>
      <c r="V140" s="893"/>
      <c r="W140" s="893"/>
      <c r="X140" s="893"/>
      <c r="Y140" s="893"/>
      <c r="Z140" s="893"/>
      <c r="AA140" s="894"/>
      <c r="AC140" s="242"/>
    </row>
    <row r="141" spans="2:29" x14ac:dyDescent="0.25">
      <c r="B141" s="892"/>
      <c r="C141" s="893"/>
      <c r="D141" s="893"/>
      <c r="E141" s="893"/>
      <c r="F141" s="893"/>
      <c r="G141" s="893"/>
      <c r="H141" s="894"/>
      <c r="J141" s="892"/>
      <c r="K141" s="893"/>
      <c r="L141" s="893"/>
      <c r="M141" s="893"/>
      <c r="N141" s="893"/>
      <c r="O141" s="893"/>
      <c r="P141" s="893"/>
      <c r="Q141" s="893"/>
      <c r="R141" s="893"/>
      <c r="S141" s="893"/>
      <c r="T141" s="893"/>
      <c r="U141" s="893"/>
      <c r="V141" s="893"/>
      <c r="W141" s="893"/>
      <c r="X141" s="893"/>
      <c r="Y141" s="893"/>
      <c r="Z141" s="893"/>
      <c r="AA141" s="894"/>
      <c r="AC141" s="242"/>
    </row>
    <row r="142" spans="2:29" x14ac:dyDescent="0.25">
      <c r="B142" s="892"/>
      <c r="C142" s="893"/>
      <c r="D142" s="893"/>
      <c r="E142" s="893"/>
      <c r="F142" s="893"/>
      <c r="G142" s="893"/>
      <c r="H142" s="894"/>
      <c r="J142" s="892"/>
      <c r="K142" s="893"/>
      <c r="L142" s="893"/>
      <c r="M142" s="893"/>
      <c r="N142" s="893"/>
      <c r="O142" s="893"/>
      <c r="P142" s="893"/>
      <c r="Q142" s="893"/>
      <c r="R142" s="893"/>
      <c r="S142" s="893"/>
      <c r="T142" s="893"/>
      <c r="U142" s="893"/>
      <c r="V142" s="893"/>
      <c r="W142" s="893"/>
      <c r="X142" s="893"/>
      <c r="Y142" s="893"/>
      <c r="Z142" s="893"/>
      <c r="AA142" s="894"/>
      <c r="AC142" s="242"/>
    </row>
    <row r="143" spans="2:29" x14ac:dyDescent="0.25">
      <c r="B143" s="892"/>
      <c r="C143" s="893"/>
      <c r="D143" s="893"/>
      <c r="E143" s="893"/>
      <c r="F143" s="893"/>
      <c r="G143" s="893"/>
      <c r="H143" s="894"/>
      <c r="J143" s="892"/>
      <c r="K143" s="893"/>
      <c r="L143" s="893"/>
      <c r="M143" s="893"/>
      <c r="N143" s="893"/>
      <c r="O143" s="893"/>
      <c r="P143" s="893"/>
      <c r="Q143" s="893"/>
      <c r="R143" s="893"/>
      <c r="S143" s="893"/>
      <c r="T143" s="893"/>
      <c r="U143" s="893"/>
      <c r="V143" s="893"/>
      <c r="W143" s="893"/>
      <c r="X143" s="893"/>
      <c r="Y143" s="893"/>
      <c r="Z143" s="893"/>
      <c r="AA143" s="894"/>
      <c r="AC143" s="242"/>
    </row>
    <row r="144" spans="2:29" x14ac:dyDescent="0.25">
      <c r="B144" s="892"/>
      <c r="C144" s="893"/>
      <c r="D144" s="893"/>
      <c r="E144" s="893"/>
      <c r="F144" s="893"/>
      <c r="G144" s="893"/>
      <c r="H144" s="894"/>
      <c r="J144" s="892"/>
      <c r="K144" s="893"/>
      <c r="L144" s="893"/>
      <c r="M144" s="893"/>
      <c r="N144" s="893"/>
      <c r="O144" s="893"/>
      <c r="P144" s="893"/>
      <c r="Q144" s="893"/>
      <c r="R144" s="893"/>
      <c r="S144" s="893"/>
      <c r="T144" s="893"/>
      <c r="U144" s="893"/>
      <c r="V144" s="893"/>
      <c r="W144" s="893"/>
      <c r="X144" s="893"/>
      <c r="Y144" s="893"/>
      <c r="Z144" s="893"/>
      <c r="AA144" s="894"/>
      <c r="AC144" s="242"/>
    </row>
    <row r="145" spans="2:29" x14ac:dyDescent="0.25">
      <c r="B145" s="892"/>
      <c r="C145" s="893"/>
      <c r="D145" s="893"/>
      <c r="E145" s="893"/>
      <c r="F145" s="893"/>
      <c r="G145" s="893"/>
      <c r="H145" s="894"/>
      <c r="J145" s="892"/>
      <c r="K145" s="893"/>
      <c r="L145" s="893"/>
      <c r="M145" s="893"/>
      <c r="N145" s="893"/>
      <c r="O145" s="893"/>
      <c r="P145" s="893"/>
      <c r="Q145" s="893"/>
      <c r="R145" s="893"/>
      <c r="S145" s="893"/>
      <c r="T145" s="893"/>
      <c r="U145" s="893"/>
      <c r="V145" s="893"/>
      <c r="W145" s="893"/>
      <c r="X145" s="893"/>
      <c r="Y145" s="893"/>
      <c r="Z145" s="893"/>
      <c r="AA145" s="894"/>
      <c r="AC145" s="242"/>
    </row>
    <row r="146" spans="2:29" x14ac:dyDescent="0.25">
      <c r="B146" s="892"/>
      <c r="C146" s="893"/>
      <c r="D146" s="893"/>
      <c r="E146" s="893"/>
      <c r="F146" s="893"/>
      <c r="G146" s="893"/>
      <c r="H146" s="894"/>
      <c r="J146" s="892"/>
      <c r="K146" s="893"/>
      <c r="L146" s="893"/>
      <c r="M146" s="893"/>
      <c r="N146" s="893"/>
      <c r="O146" s="893"/>
      <c r="P146" s="893"/>
      <c r="Q146" s="893"/>
      <c r="R146" s="893"/>
      <c r="S146" s="893"/>
      <c r="T146" s="893"/>
      <c r="U146" s="893"/>
      <c r="V146" s="893"/>
      <c r="W146" s="893"/>
      <c r="X146" s="893"/>
      <c r="Y146" s="893"/>
      <c r="Z146" s="893"/>
      <c r="AA146" s="894"/>
      <c r="AC146" s="242"/>
    </row>
    <row r="147" spans="2:29" x14ac:dyDescent="0.25">
      <c r="B147" s="892"/>
      <c r="C147" s="893"/>
      <c r="D147" s="893"/>
      <c r="E147" s="893"/>
      <c r="F147" s="893"/>
      <c r="G147" s="893"/>
      <c r="H147" s="894"/>
      <c r="J147" s="892"/>
      <c r="K147" s="893"/>
      <c r="L147" s="893"/>
      <c r="M147" s="893"/>
      <c r="N147" s="893"/>
      <c r="O147" s="893"/>
      <c r="P147" s="893"/>
      <c r="Q147" s="893"/>
      <c r="R147" s="893"/>
      <c r="S147" s="893"/>
      <c r="T147" s="893"/>
      <c r="U147" s="893"/>
      <c r="V147" s="893"/>
      <c r="W147" s="893"/>
      <c r="X147" s="893"/>
      <c r="Y147" s="893"/>
      <c r="Z147" s="893"/>
      <c r="AA147" s="894"/>
      <c r="AC147" s="242"/>
    </row>
    <row r="148" spans="2:29" x14ac:dyDescent="0.25">
      <c r="B148" s="892"/>
      <c r="C148" s="893"/>
      <c r="D148" s="893"/>
      <c r="E148" s="893"/>
      <c r="F148" s="893"/>
      <c r="G148" s="893"/>
      <c r="H148" s="894"/>
      <c r="J148" s="892"/>
      <c r="K148" s="893"/>
      <c r="L148" s="893"/>
      <c r="M148" s="893"/>
      <c r="N148" s="893"/>
      <c r="O148" s="893"/>
      <c r="P148" s="893"/>
      <c r="Q148" s="893"/>
      <c r="R148" s="893"/>
      <c r="S148" s="893"/>
      <c r="T148" s="893"/>
      <c r="U148" s="893"/>
      <c r="V148" s="893"/>
      <c r="W148" s="893"/>
      <c r="X148" s="893"/>
      <c r="Y148" s="893"/>
      <c r="Z148" s="893"/>
      <c r="AA148" s="894"/>
      <c r="AC148" s="242"/>
    </row>
    <row r="149" spans="2:29" x14ac:dyDescent="0.25">
      <c r="B149" s="892"/>
      <c r="C149" s="893"/>
      <c r="D149" s="893"/>
      <c r="E149" s="893"/>
      <c r="F149" s="893"/>
      <c r="G149" s="893"/>
      <c r="H149" s="894"/>
      <c r="J149" s="892"/>
      <c r="K149" s="893"/>
      <c r="L149" s="893"/>
      <c r="M149" s="893"/>
      <c r="N149" s="893"/>
      <c r="O149" s="893"/>
      <c r="P149" s="893"/>
      <c r="Q149" s="893"/>
      <c r="R149" s="893"/>
      <c r="S149" s="893"/>
      <c r="T149" s="893"/>
      <c r="U149" s="893"/>
      <c r="V149" s="893"/>
      <c r="W149" s="893"/>
      <c r="X149" s="893"/>
      <c r="Y149" s="893"/>
      <c r="Z149" s="893"/>
      <c r="AA149" s="894"/>
      <c r="AC149" s="242"/>
    </row>
    <row r="150" spans="2:29" x14ac:dyDescent="0.25">
      <c r="B150" s="892"/>
      <c r="C150" s="893"/>
      <c r="D150" s="893"/>
      <c r="E150" s="893"/>
      <c r="F150" s="893"/>
      <c r="G150" s="893"/>
      <c r="H150" s="894"/>
      <c r="J150" s="892"/>
      <c r="K150" s="893"/>
      <c r="L150" s="893"/>
      <c r="M150" s="893"/>
      <c r="N150" s="893"/>
      <c r="O150" s="893"/>
      <c r="P150" s="893"/>
      <c r="Q150" s="893"/>
      <c r="R150" s="893"/>
      <c r="S150" s="893"/>
      <c r="T150" s="893"/>
      <c r="U150" s="893"/>
      <c r="V150" s="893"/>
      <c r="W150" s="893"/>
      <c r="X150" s="893"/>
      <c r="Y150" s="893"/>
      <c r="Z150" s="893"/>
      <c r="AA150" s="894"/>
      <c r="AC150" s="242"/>
    </row>
    <row r="151" spans="2:29" x14ac:dyDescent="0.25">
      <c r="B151" s="892"/>
      <c r="C151" s="893"/>
      <c r="D151" s="893"/>
      <c r="E151" s="893"/>
      <c r="F151" s="893"/>
      <c r="G151" s="893"/>
      <c r="H151" s="894"/>
      <c r="J151" s="892"/>
      <c r="K151" s="893"/>
      <c r="L151" s="893"/>
      <c r="M151" s="893"/>
      <c r="N151" s="893"/>
      <c r="O151" s="893"/>
      <c r="P151" s="893"/>
      <c r="Q151" s="893"/>
      <c r="R151" s="893"/>
      <c r="S151" s="893"/>
      <c r="T151" s="893"/>
      <c r="U151" s="893"/>
      <c r="V151" s="893"/>
      <c r="W151" s="893"/>
      <c r="X151" s="893"/>
      <c r="Y151" s="893"/>
      <c r="Z151" s="893"/>
      <c r="AA151" s="894"/>
      <c r="AC151" s="242"/>
    </row>
    <row r="152" spans="2:29" x14ac:dyDescent="0.25">
      <c r="B152" s="892"/>
      <c r="C152" s="893"/>
      <c r="D152" s="893"/>
      <c r="E152" s="893"/>
      <c r="F152" s="893"/>
      <c r="G152" s="893"/>
      <c r="H152" s="894"/>
      <c r="J152" s="892"/>
      <c r="K152" s="893"/>
      <c r="L152" s="893"/>
      <c r="M152" s="893"/>
      <c r="N152" s="893"/>
      <c r="O152" s="893"/>
      <c r="P152" s="893"/>
      <c r="Q152" s="893"/>
      <c r="R152" s="893"/>
      <c r="S152" s="893"/>
      <c r="T152" s="893"/>
      <c r="U152" s="893"/>
      <c r="V152" s="893"/>
      <c r="W152" s="893"/>
      <c r="X152" s="893"/>
      <c r="Y152" s="893"/>
      <c r="Z152" s="893"/>
      <c r="AA152" s="894"/>
      <c r="AC152" s="242"/>
    </row>
    <row r="153" spans="2:29" ht="17.25" thickBot="1" x14ac:dyDescent="0.3">
      <c r="B153" s="895"/>
      <c r="C153" s="896"/>
      <c r="D153" s="896"/>
      <c r="E153" s="896"/>
      <c r="F153" s="896"/>
      <c r="G153" s="896"/>
      <c r="H153" s="897"/>
      <c r="J153" s="895"/>
      <c r="K153" s="896"/>
      <c r="L153" s="896"/>
      <c r="M153" s="896"/>
      <c r="N153" s="896"/>
      <c r="O153" s="896"/>
      <c r="P153" s="896"/>
      <c r="Q153" s="896"/>
      <c r="R153" s="896"/>
      <c r="S153" s="896"/>
      <c r="T153" s="896"/>
      <c r="U153" s="896"/>
      <c r="V153" s="896"/>
      <c r="W153" s="896"/>
      <c r="X153" s="896"/>
      <c r="Y153" s="896"/>
      <c r="Z153" s="896"/>
      <c r="AA153" s="897"/>
      <c r="AC153" s="242"/>
    </row>
    <row r="154" spans="2:29" ht="17.25" thickBot="1" x14ac:dyDescent="0.3">
      <c r="B154" s="247"/>
      <c r="AC154" s="242"/>
    </row>
    <row r="155" spans="2:29" s="32" customFormat="1" ht="18" thickBot="1" x14ac:dyDescent="0.3">
      <c r="B155" s="859" t="s">
        <v>375</v>
      </c>
      <c r="C155" s="860"/>
      <c r="D155" s="860"/>
      <c r="E155" s="860"/>
      <c r="F155" s="860"/>
      <c r="G155" s="860"/>
      <c r="H155" s="860"/>
      <c r="I155" s="860"/>
      <c r="J155" s="860"/>
      <c r="K155" s="860"/>
      <c r="L155" s="860"/>
      <c r="M155" s="860"/>
      <c r="N155" s="860"/>
      <c r="O155" s="860"/>
      <c r="P155" s="860"/>
      <c r="Q155" s="860"/>
      <c r="R155" s="860"/>
      <c r="S155" s="860"/>
      <c r="T155" s="860"/>
      <c r="U155" s="860"/>
      <c r="V155" s="860"/>
      <c r="W155" s="860"/>
      <c r="X155" s="860"/>
      <c r="Y155" s="860"/>
      <c r="Z155" s="860"/>
      <c r="AA155" s="861"/>
      <c r="AC155" s="224"/>
    </row>
    <row r="156" spans="2:29" x14ac:dyDescent="0.25">
      <c r="B156" s="889"/>
      <c r="C156" s="890"/>
      <c r="D156" s="890"/>
      <c r="E156" s="890"/>
      <c r="F156" s="890"/>
      <c r="G156" s="890"/>
      <c r="H156" s="890"/>
      <c r="I156" s="890"/>
      <c r="J156" s="890"/>
      <c r="K156" s="890"/>
      <c r="L156" s="890"/>
      <c r="M156" s="890"/>
      <c r="N156" s="890"/>
      <c r="O156" s="890"/>
      <c r="P156" s="890"/>
      <c r="Q156" s="890"/>
      <c r="R156" s="890"/>
      <c r="S156" s="890"/>
      <c r="T156" s="890"/>
      <c r="U156" s="890"/>
      <c r="V156" s="890"/>
      <c r="W156" s="890"/>
      <c r="X156" s="890"/>
      <c r="Y156" s="890"/>
      <c r="Z156" s="890"/>
      <c r="AA156" s="891"/>
      <c r="AC156" s="242"/>
    </row>
    <row r="157" spans="2:29" x14ac:dyDescent="0.25">
      <c r="B157" s="892"/>
      <c r="C157" s="893"/>
      <c r="D157" s="893"/>
      <c r="E157" s="893"/>
      <c r="F157" s="893"/>
      <c r="G157" s="893"/>
      <c r="H157" s="893"/>
      <c r="I157" s="893"/>
      <c r="J157" s="893"/>
      <c r="K157" s="893"/>
      <c r="L157" s="893"/>
      <c r="M157" s="893"/>
      <c r="N157" s="893"/>
      <c r="O157" s="893"/>
      <c r="P157" s="893"/>
      <c r="Q157" s="893"/>
      <c r="R157" s="893"/>
      <c r="S157" s="893"/>
      <c r="T157" s="893"/>
      <c r="U157" s="893"/>
      <c r="V157" s="893"/>
      <c r="W157" s="893"/>
      <c r="X157" s="893"/>
      <c r="Y157" s="893"/>
      <c r="Z157" s="893"/>
      <c r="AA157" s="894"/>
      <c r="AC157" s="242"/>
    </row>
    <row r="158" spans="2:29" x14ac:dyDescent="0.25">
      <c r="B158" s="892"/>
      <c r="C158" s="893"/>
      <c r="D158" s="893"/>
      <c r="E158" s="893"/>
      <c r="F158" s="893"/>
      <c r="G158" s="893"/>
      <c r="H158" s="893"/>
      <c r="I158" s="893"/>
      <c r="J158" s="893"/>
      <c r="K158" s="893"/>
      <c r="L158" s="893"/>
      <c r="M158" s="893"/>
      <c r="N158" s="893"/>
      <c r="O158" s="893"/>
      <c r="P158" s="893"/>
      <c r="Q158" s="893"/>
      <c r="R158" s="893"/>
      <c r="S158" s="893"/>
      <c r="T158" s="893"/>
      <c r="U158" s="893"/>
      <c r="V158" s="893"/>
      <c r="W158" s="893"/>
      <c r="X158" s="893"/>
      <c r="Y158" s="893"/>
      <c r="Z158" s="893"/>
      <c r="AA158" s="894"/>
      <c r="AC158" s="242"/>
    </row>
    <row r="159" spans="2:29" x14ac:dyDescent="0.25">
      <c r="B159" s="892"/>
      <c r="C159" s="893"/>
      <c r="D159" s="893"/>
      <c r="E159" s="893"/>
      <c r="F159" s="893"/>
      <c r="G159" s="893"/>
      <c r="H159" s="893"/>
      <c r="I159" s="893"/>
      <c r="J159" s="893"/>
      <c r="K159" s="893"/>
      <c r="L159" s="893"/>
      <c r="M159" s="893"/>
      <c r="N159" s="893"/>
      <c r="O159" s="893"/>
      <c r="P159" s="893"/>
      <c r="Q159" s="893"/>
      <c r="R159" s="893"/>
      <c r="S159" s="893"/>
      <c r="T159" s="893"/>
      <c r="U159" s="893"/>
      <c r="V159" s="893"/>
      <c r="W159" s="893"/>
      <c r="X159" s="893"/>
      <c r="Y159" s="893"/>
      <c r="Z159" s="893"/>
      <c r="AA159" s="894"/>
      <c r="AC159" s="242"/>
    </row>
    <row r="160" spans="2:29" x14ac:dyDescent="0.25">
      <c r="B160" s="892"/>
      <c r="C160" s="893"/>
      <c r="D160" s="893"/>
      <c r="E160" s="893"/>
      <c r="F160" s="893"/>
      <c r="G160" s="893"/>
      <c r="H160" s="893"/>
      <c r="I160" s="893"/>
      <c r="J160" s="893"/>
      <c r="K160" s="893"/>
      <c r="L160" s="893"/>
      <c r="M160" s="893"/>
      <c r="N160" s="893"/>
      <c r="O160" s="893"/>
      <c r="P160" s="893"/>
      <c r="Q160" s="893"/>
      <c r="R160" s="893"/>
      <c r="S160" s="893"/>
      <c r="T160" s="893"/>
      <c r="U160" s="893"/>
      <c r="V160" s="893"/>
      <c r="W160" s="893"/>
      <c r="X160" s="893"/>
      <c r="Y160" s="893"/>
      <c r="Z160" s="893"/>
      <c r="AA160" s="894"/>
      <c r="AC160" s="242"/>
    </row>
    <row r="161" spans="2:29" x14ac:dyDescent="0.25">
      <c r="B161" s="892"/>
      <c r="C161" s="893"/>
      <c r="D161" s="893"/>
      <c r="E161" s="893"/>
      <c r="F161" s="893"/>
      <c r="G161" s="893"/>
      <c r="H161" s="893"/>
      <c r="I161" s="893"/>
      <c r="J161" s="893"/>
      <c r="K161" s="893"/>
      <c r="L161" s="893"/>
      <c r="M161" s="893"/>
      <c r="N161" s="893"/>
      <c r="O161" s="893"/>
      <c r="P161" s="893"/>
      <c r="Q161" s="893"/>
      <c r="R161" s="893"/>
      <c r="S161" s="893"/>
      <c r="T161" s="893"/>
      <c r="U161" s="893"/>
      <c r="V161" s="893"/>
      <c r="W161" s="893"/>
      <c r="X161" s="893"/>
      <c r="Y161" s="893"/>
      <c r="Z161" s="893"/>
      <c r="AA161" s="894"/>
      <c r="AC161" s="242"/>
    </row>
    <row r="162" spans="2:29" x14ac:dyDescent="0.25">
      <c r="B162" s="892"/>
      <c r="C162" s="893"/>
      <c r="D162" s="893"/>
      <c r="E162" s="893"/>
      <c r="F162" s="893"/>
      <c r="G162" s="893"/>
      <c r="H162" s="893"/>
      <c r="I162" s="893"/>
      <c r="J162" s="893"/>
      <c r="K162" s="893"/>
      <c r="L162" s="893"/>
      <c r="M162" s="893"/>
      <c r="N162" s="893"/>
      <c r="O162" s="893"/>
      <c r="P162" s="893"/>
      <c r="Q162" s="893"/>
      <c r="R162" s="893"/>
      <c r="S162" s="893"/>
      <c r="T162" s="893"/>
      <c r="U162" s="893"/>
      <c r="V162" s="893"/>
      <c r="W162" s="893"/>
      <c r="X162" s="893"/>
      <c r="Y162" s="893"/>
      <c r="Z162" s="893"/>
      <c r="AA162" s="894"/>
      <c r="AC162" s="242"/>
    </row>
    <row r="163" spans="2:29" x14ac:dyDescent="0.25">
      <c r="B163" s="892"/>
      <c r="C163" s="893"/>
      <c r="D163" s="893"/>
      <c r="E163" s="893"/>
      <c r="F163" s="893"/>
      <c r="G163" s="893"/>
      <c r="H163" s="893"/>
      <c r="I163" s="893"/>
      <c r="J163" s="893"/>
      <c r="K163" s="893"/>
      <c r="L163" s="893"/>
      <c r="M163" s="893"/>
      <c r="N163" s="893"/>
      <c r="O163" s="893"/>
      <c r="P163" s="893"/>
      <c r="Q163" s="893"/>
      <c r="R163" s="893"/>
      <c r="S163" s="893"/>
      <c r="T163" s="893"/>
      <c r="U163" s="893"/>
      <c r="V163" s="893"/>
      <c r="W163" s="893"/>
      <c r="X163" s="893"/>
      <c r="Y163" s="893"/>
      <c r="Z163" s="893"/>
      <c r="AA163" s="894"/>
      <c r="AC163" s="242"/>
    </row>
    <row r="164" spans="2:29" x14ac:dyDescent="0.25">
      <c r="B164" s="892"/>
      <c r="C164" s="893"/>
      <c r="D164" s="893"/>
      <c r="E164" s="893"/>
      <c r="F164" s="893"/>
      <c r="G164" s="893"/>
      <c r="H164" s="893"/>
      <c r="I164" s="893"/>
      <c r="J164" s="893"/>
      <c r="K164" s="893"/>
      <c r="L164" s="893"/>
      <c r="M164" s="893"/>
      <c r="N164" s="893"/>
      <c r="O164" s="893"/>
      <c r="P164" s="893"/>
      <c r="Q164" s="893"/>
      <c r="R164" s="893"/>
      <c r="S164" s="893"/>
      <c r="T164" s="893"/>
      <c r="U164" s="893"/>
      <c r="V164" s="893"/>
      <c r="W164" s="893"/>
      <c r="X164" s="893"/>
      <c r="Y164" s="893"/>
      <c r="Z164" s="893"/>
      <c r="AA164" s="894"/>
      <c r="AC164" s="242"/>
    </row>
    <row r="165" spans="2:29" x14ac:dyDescent="0.25">
      <c r="B165" s="892"/>
      <c r="C165" s="893"/>
      <c r="D165" s="893"/>
      <c r="E165" s="893"/>
      <c r="F165" s="893"/>
      <c r="G165" s="893"/>
      <c r="H165" s="893"/>
      <c r="I165" s="893"/>
      <c r="J165" s="893"/>
      <c r="K165" s="893"/>
      <c r="L165" s="893"/>
      <c r="M165" s="893"/>
      <c r="N165" s="893"/>
      <c r="O165" s="893"/>
      <c r="P165" s="893"/>
      <c r="Q165" s="893"/>
      <c r="R165" s="893"/>
      <c r="S165" s="893"/>
      <c r="T165" s="893"/>
      <c r="U165" s="893"/>
      <c r="V165" s="893"/>
      <c r="W165" s="893"/>
      <c r="X165" s="893"/>
      <c r="Y165" s="893"/>
      <c r="Z165" s="893"/>
      <c r="AA165" s="894"/>
      <c r="AC165" s="242"/>
    </row>
    <row r="166" spans="2:29" x14ac:dyDescent="0.25">
      <c r="B166" s="892"/>
      <c r="C166" s="893"/>
      <c r="D166" s="893"/>
      <c r="E166" s="893"/>
      <c r="F166" s="893"/>
      <c r="G166" s="893"/>
      <c r="H166" s="893"/>
      <c r="I166" s="893"/>
      <c r="J166" s="893"/>
      <c r="K166" s="893"/>
      <c r="L166" s="893"/>
      <c r="M166" s="893"/>
      <c r="N166" s="893"/>
      <c r="O166" s="893"/>
      <c r="P166" s="893"/>
      <c r="Q166" s="893"/>
      <c r="R166" s="893"/>
      <c r="S166" s="893"/>
      <c r="T166" s="893"/>
      <c r="U166" s="893"/>
      <c r="V166" s="893"/>
      <c r="W166" s="893"/>
      <c r="X166" s="893"/>
      <c r="Y166" s="893"/>
      <c r="Z166" s="893"/>
      <c r="AA166" s="894"/>
      <c r="AC166" s="242"/>
    </row>
    <row r="167" spans="2:29" x14ac:dyDescent="0.25">
      <c r="B167" s="892"/>
      <c r="C167" s="893"/>
      <c r="D167" s="893"/>
      <c r="E167" s="893"/>
      <c r="F167" s="893"/>
      <c r="G167" s="893"/>
      <c r="H167" s="893"/>
      <c r="I167" s="893"/>
      <c r="J167" s="893"/>
      <c r="K167" s="893"/>
      <c r="L167" s="893"/>
      <c r="M167" s="893"/>
      <c r="N167" s="893"/>
      <c r="O167" s="893"/>
      <c r="P167" s="893"/>
      <c r="Q167" s="893"/>
      <c r="R167" s="893"/>
      <c r="S167" s="893"/>
      <c r="T167" s="893"/>
      <c r="U167" s="893"/>
      <c r="V167" s="893"/>
      <c r="W167" s="893"/>
      <c r="X167" s="893"/>
      <c r="Y167" s="893"/>
      <c r="Z167" s="893"/>
      <c r="AA167" s="894"/>
      <c r="AC167" s="242"/>
    </row>
    <row r="168" spans="2:29" x14ac:dyDescent="0.25">
      <c r="B168" s="892"/>
      <c r="C168" s="893"/>
      <c r="D168" s="893"/>
      <c r="E168" s="893"/>
      <c r="F168" s="893"/>
      <c r="G168" s="893"/>
      <c r="H168" s="893"/>
      <c r="I168" s="893"/>
      <c r="J168" s="893"/>
      <c r="K168" s="893"/>
      <c r="L168" s="893"/>
      <c r="M168" s="893"/>
      <c r="N168" s="893"/>
      <c r="O168" s="893"/>
      <c r="P168" s="893"/>
      <c r="Q168" s="893"/>
      <c r="R168" s="893"/>
      <c r="S168" s="893"/>
      <c r="T168" s="893"/>
      <c r="U168" s="893"/>
      <c r="V168" s="893"/>
      <c r="W168" s="893"/>
      <c r="X168" s="893"/>
      <c r="Y168" s="893"/>
      <c r="Z168" s="893"/>
      <c r="AA168" s="894"/>
      <c r="AC168" s="242"/>
    </row>
    <row r="169" spans="2:29" x14ac:dyDescent="0.25">
      <c r="B169" s="892"/>
      <c r="C169" s="893"/>
      <c r="D169" s="893"/>
      <c r="E169" s="893"/>
      <c r="F169" s="893"/>
      <c r="G169" s="893"/>
      <c r="H169" s="893"/>
      <c r="I169" s="893"/>
      <c r="J169" s="893"/>
      <c r="K169" s="893"/>
      <c r="L169" s="893"/>
      <c r="M169" s="893"/>
      <c r="N169" s="893"/>
      <c r="O169" s="893"/>
      <c r="P169" s="893"/>
      <c r="Q169" s="893"/>
      <c r="R169" s="893"/>
      <c r="S169" s="893"/>
      <c r="T169" s="893"/>
      <c r="U169" s="893"/>
      <c r="V169" s="893"/>
      <c r="W169" s="893"/>
      <c r="X169" s="893"/>
      <c r="Y169" s="893"/>
      <c r="Z169" s="893"/>
      <c r="AA169" s="894"/>
      <c r="AC169" s="242"/>
    </row>
    <row r="170" spans="2:29" x14ac:dyDescent="0.25">
      <c r="B170" s="892"/>
      <c r="C170" s="893"/>
      <c r="D170" s="893"/>
      <c r="E170" s="893"/>
      <c r="F170" s="893"/>
      <c r="G170" s="893"/>
      <c r="H170" s="893"/>
      <c r="I170" s="893"/>
      <c r="J170" s="893"/>
      <c r="K170" s="893"/>
      <c r="L170" s="893"/>
      <c r="M170" s="893"/>
      <c r="N170" s="893"/>
      <c r="O170" s="893"/>
      <c r="P170" s="893"/>
      <c r="Q170" s="893"/>
      <c r="R170" s="893"/>
      <c r="S170" s="893"/>
      <c r="T170" s="893"/>
      <c r="U170" s="893"/>
      <c r="V170" s="893"/>
      <c r="W170" s="893"/>
      <c r="X170" s="893"/>
      <c r="Y170" s="893"/>
      <c r="Z170" s="893"/>
      <c r="AA170" s="894"/>
      <c r="AC170" s="242"/>
    </row>
    <row r="171" spans="2:29" x14ac:dyDescent="0.25">
      <c r="B171" s="892"/>
      <c r="C171" s="893"/>
      <c r="D171" s="893"/>
      <c r="E171" s="893"/>
      <c r="F171" s="893"/>
      <c r="G171" s="893"/>
      <c r="H171" s="893"/>
      <c r="I171" s="893"/>
      <c r="J171" s="893"/>
      <c r="K171" s="893"/>
      <c r="L171" s="893"/>
      <c r="M171" s="893"/>
      <c r="N171" s="893"/>
      <c r="O171" s="893"/>
      <c r="P171" s="893"/>
      <c r="Q171" s="893"/>
      <c r="R171" s="893"/>
      <c r="S171" s="893"/>
      <c r="T171" s="893"/>
      <c r="U171" s="893"/>
      <c r="V171" s="893"/>
      <c r="W171" s="893"/>
      <c r="X171" s="893"/>
      <c r="Y171" s="893"/>
      <c r="Z171" s="893"/>
      <c r="AA171" s="894"/>
      <c r="AC171" s="242"/>
    </row>
    <row r="172" spans="2:29" x14ac:dyDescent="0.25">
      <c r="B172" s="892"/>
      <c r="C172" s="893"/>
      <c r="D172" s="893"/>
      <c r="E172" s="893"/>
      <c r="F172" s="893"/>
      <c r="G172" s="893"/>
      <c r="H172" s="893"/>
      <c r="I172" s="893"/>
      <c r="J172" s="893"/>
      <c r="K172" s="893"/>
      <c r="L172" s="893"/>
      <c r="M172" s="893"/>
      <c r="N172" s="893"/>
      <c r="O172" s="893"/>
      <c r="P172" s="893"/>
      <c r="Q172" s="893"/>
      <c r="R172" s="893"/>
      <c r="S172" s="893"/>
      <c r="T172" s="893"/>
      <c r="U172" s="893"/>
      <c r="V172" s="893"/>
      <c r="W172" s="893"/>
      <c r="X172" s="893"/>
      <c r="Y172" s="893"/>
      <c r="Z172" s="893"/>
      <c r="AA172" s="894"/>
      <c r="AC172" s="242"/>
    </row>
    <row r="173" spans="2:29" x14ac:dyDescent="0.25">
      <c r="B173" s="892"/>
      <c r="C173" s="893"/>
      <c r="D173" s="893"/>
      <c r="E173" s="893"/>
      <c r="F173" s="893"/>
      <c r="G173" s="893"/>
      <c r="H173" s="893"/>
      <c r="I173" s="893"/>
      <c r="J173" s="893"/>
      <c r="K173" s="893"/>
      <c r="L173" s="893"/>
      <c r="M173" s="893"/>
      <c r="N173" s="893"/>
      <c r="O173" s="893"/>
      <c r="P173" s="893"/>
      <c r="Q173" s="893"/>
      <c r="R173" s="893"/>
      <c r="S173" s="893"/>
      <c r="T173" s="893"/>
      <c r="U173" s="893"/>
      <c r="V173" s="893"/>
      <c r="W173" s="893"/>
      <c r="X173" s="893"/>
      <c r="Y173" s="893"/>
      <c r="Z173" s="893"/>
      <c r="AA173" s="894"/>
      <c r="AC173" s="242"/>
    </row>
    <row r="174" spans="2:29" x14ac:dyDescent="0.25">
      <c r="B174" s="892"/>
      <c r="C174" s="893"/>
      <c r="D174" s="893"/>
      <c r="E174" s="893"/>
      <c r="F174" s="893"/>
      <c r="G174" s="893"/>
      <c r="H174" s="893"/>
      <c r="I174" s="893"/>
      <c r="J174" s="893"/>
      <c r="K174" s="893"/>
      <c r="L174" s="893"/>
      <c r="M174" s="893"/>
      <c r="N174" s="893"/>
      <c r="O174" s="893"/>
      <c r="P174" s="893"/>
      <c r="Q174" s="893"/>
      <c r="R174" s="893"/>
      <c r="S174" s="893"/>
      <c r="T174" s="893"/>
      <c r="U174" s="893"/>
      <c r="V174" s="893"/>
      <c r="W174" s="893"/>
      <c r="X174" s="893"/>
      <c r="Y174" s="893"/>
      <c r="Z174" s="893"/>
      <c r="AA174" s="894"/>
      <c r="AC174" s="242"/>
    </row>
    <row r="175" spans="2:29" x14ac:dyDescent="0.25">
      <c r="B175" s="892"/>
      <c r="C175" s="893"/>
      <c r="D175" s="893"/>
      <c r="E175" s="893"/>
      <c r="F175" s="893"/>
      <c r="G175" s="893"/>
      <c r="H175" s="893"/>
      <c r="I175" s="893"/>
      <c r="J175" s="893"/>
      <c r="K175" s="893"/>
      <c r="L175" s="893"/>
      <c r="M175" s="893"/>
      <c r="N175" s="893"/>
      <c r="O175" s="893"/>
      <c r="P175" s="893"/>
      <c r="Q175" s="893"/>
      <c r="R175" s="893"/>
      <c r="S175" s="893"/>
      <c r="T175" s="893"/>
      <c r="U175" s="893"/>
      <c r="V175" s="893"/>
      <c r="W175" s="893"/>
      <c r="X175" s="893"/>
      <c r="Y175" s="893"/>
      <c r="Z175" s="893"/>
      <c r="AA175" s="894"/>
      <c r="AC175" s="242"/>
    </row>
    <row r="176" spans="2:29" x14ac:dyDescent="0.25">
      <c r="B176" s="892"/>
      <c r="C176" s="893"/>
      <c r="D176" s="893"/>
      <c r="E176" s="893"/>
      <c r="F176" s="893"/>
      <c r="G176" s="893"/>
      <c r="H176" s="893"/>
      <c r="I176" s="893"/>
      <c r="J176" s="893"/>
      <c r="K176" s="893"/>
      <c r="L176" s="893"/>
      <c r="M176" s="893"/>
      <c r="N176" s="893"/>
      <c r="O176" s="893"/>
      <c r="P176" s="893"/>
      <c r="Q176" s="893"/>
      <c r="R176" s="893"/>
      <c r="S176" s="893"/>
      <c r="T176" s="893"/>
      <c r="U176" s="893"/>
      <c r="V176" s="893"/>
      <c r="W176" s="893"/>
      <c r="X176" s="893"/>
      <c r="Y176" s="893"/>
      <c r="Z176" s="893"/>
      <c r="AA176" s="894"/>
      <c r="AC176" s="242"/>
    </row>
    <row r="177" spans="1:29" ht="17.25" thickBot="1" x14ac:dyDescent="0.3">
      <c r="B177" s="895"/>
      <c r="C177" s="896"/>
      <c r="D177" s="896"/>
      <c r="E177" s="896"/>
      <c r="F177" s="896"/>
      <c r="G177" s="896"/>
      <c r="H177" s="896"/>
      <c r="I177" s="896"/>
      <c r="J177" s="896"/>
      <c r="K177" s="896"/>
      <c r="L177" s="896"/>
      <c r="M177" s="896"/>
      <c r="N177" s="896"/>
      <c r="O177" s="896"/>
      <c r="P177" s="896"/>
      <c r="Q177" s="896"/>
      <c r="R177" s="896"/>
      <c r="S177" s="896"/>
      <c r="T177" s="896"/>
      <c r="U177" s="896"/>
      <c r="V177" s="896"/>
      <c r="W177" s="896"/>
      <c r="X177" s="896"/>
      <c r="Y177" s="896"/>
      <c r="Z177" s="896"/>
      <c r="AA177" s="897"/>
      <c r="AC177" s="242"/>
    </row>
    <row r="178" spans="1:29" x14ac:dyDescent="0.25">
      <c r="F178" s="247"/>
      <c r="AC178" s="242"/>
    </row>
    <row r="179" spans="1:29" s="243" customFormat="1" x14ac:dyDescent="0.25">
      <c r="A179" s="242"/>
      <c r="B179" s="242"/>
      <c r="C179" s="242"/>
      <c r="D179" s="242"/>
      <c r="E179" s="242"/>
      <c r="F179" s="242"/>
      <c r="G179" s="242"/>
      <c r="H179" s="242"/>
      <c r="I179" s="242"/>
      <c r="J179" s="242"/>
      <c r="K179" s="242"/>
      <c r="L179" s="242"/>
      <c r="M179" s="242"/>
      <c r="N179" s="242"/>
      <c r="O179" s="242"/>
      <c r="P179" s="242"/>
      <c r="Q179" s="242"/>
      <c r="R179" s="242"/>
      <c r="S179" s="242"/>
      <c r="T179" s="242"/>
      <c r="U179" s="242"/>
      <c r="V179" s="242"/>
      <c r="W179" s="242"/>
      <c r="X179" s="242"/>
      <c r="Y179" s="242"/>
      <c r="Z179" s="242"/>
      <c r="AA179" s="242"/>
      <c r="AB179" s="242"/>
      <c r="AC179" s="242"/>
    </row>
  </sheetData>
  <sheetProtection password="CA08" sheet="1" scenarios="1" selectLockedCells="1"/>
  <customSheetViews>
    <customSheetView guid="{2A4C6EB9-430A-44F2-86C8-15B50360FC3B}" scale="75" showGridLines="0">
      <selection activeCell="J1" sqref="J1:J65536"/>
      <pageMargins left="0.7" right="0.7" top="0.75" bottom="0.75" header="0.3" footer="0.3"/>
      <pageSetup orientation="portrait" r:id="rId1"/>
    </customSheetView>
    <customSheetView guid="{B3BD5AF3-9A64-4EA7-AE1F-3CC326849B8F}" scale="75" showGridLines="0">
      <selection activeCell="C18" sqref="C18"/>
      <pageMargins left="0.7" right="0.7" top="0.75" bottom="0.75" header="0.3" footer="0.3"/>
      <pageSetup orientation="portrait" r:id="rId2"/>
    </customSheetView>
  </customSheetViews>
  <mergeCells count="24">
    <mergeCell ref="B132:H153"/>
    <mergeCell ref="B131:H131"/>
    <mergeCell ref="B156:AA177"/>
    <mergeCell ref="B155:AA155"/>
    <mergeCell ref="J37:AA57"/>
    <mergeCell ref="J60:AA81"/>
    <mergeCell ref="J59:AA59"/>
    <mergeCell ref="J84:AA105"/>
    <mergeCell ref="J83:AA83"/>
    <mergeCell ref="J132:AA153"/>
    <mergeCell ref="J131:AA131"/>
    <mergeCell ref="B60:H81"/>
    <mergeCell ref="B59:H59"/>
    <mergeCell ref="B84:H105"/>
    <mergeCell ref="B83:H83"/>
    <mergeCell ref="B108:H129"/>
    <mergeCell ref="B107:H107"/>
    <mergeCell ref="E2:F2"/>
    <mergeCell ref="B14:AA34"/>
    <mergeCell ref="B13:AA13"/>
    <mergeCell ref="B37:H57"/>
    <mergeCell ref="B36:H36"/>
    <mergeCell ref="J36:AA36"/>
    <mergeCell ref="B2:C2"/>
  </mergeCells>
  <phoneticPr fontId="26" type="noConversion"/>
  <hyperlinks>
    <hyperlink ref="E2" location="Instructions!A1" display="Back to Instructions" xr:uid="{00000000-0004-0000-0400-000000000000}"/>
    <hyperlink ref="E2:F2" location="Instructions!A1" display="Back to Instructions tab" xr:uid="{00000000-0004-0000-0400-00000100000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L42"/>
  <sheetViews>
    <sheetView showGridLines="0" zoomScale="80" zoomScaleNormal="80" workbookViewId="0">
      <selection activeCell="E3" sqref="E3:F3"/>
    </sheetView>
  </sheetViews>
  <sheetFormatPr defaultColWidth="9.140625" defaultRowHeight="16.5" x14ac:dyDescent="0.3"/>
  <cols>
    <col min="1" max="1" width="5" style="5" customWidth="1"/>
    <col min="2" max="2" width="43.5703125" style="5" customWidth="1"/>
    <col min="3" max="3" width="64.28515625" style="5" bestFit="1" customWidth="1"/>
    <col min="4" max="4" width="16.140625" style="5" customWidth="1"/>
    <col min="5" max="5" width="31.140625" style="5" customWidth="1"/>
    <col min="6" max="6" width="9.140625" style="5"/>
    <col min="7" max="7" width="29.7109375" style="5" customWidth="1"/>
    <col min="8" max="10" width="9.140625" style="5"/>
    <col min="11" max="11" width="3" style="5" customWidth="1"/>
    <col min="12" max="12" width="1.85546875" style="16" customWidth="1"/>
    <col min="13" max="16384" width="9.140625" style="5"/>
  </cols>
  <sheetData>
    <row r="1" spans="2:12" ht="17.25" thickBot="1" x14ac:dyDescent="0.35">
      <c r="L1" s="165"/>
    </row>
    <row r="2" spans="2:12" ht="18" thickBot="1" x14ac:dyDescent="0.35">
      <c r="B2" s="805" t="s">
        <v>622</v>
      </c>
      <c r="C2" s="806"/>
      <c r="L2" s="17"/>
    </row>
    <row r="3" spans="2:12" x14ac:dyDescent="0.3">
      <c r="B3" s="365" t="s">
        <v>623</v>
      </c>
      <c r="C3" s="366" t="str">
        <f>'Version Control'!C3</f>
        <v>Commercial Air Conditioner and Heat Pump</v>
      </c>
      <c r="E3" s="840" t="s">
        <v>553</v>
      </c>
      <c r="F3" s="840"/>
      <c r="I3" s="8"/>
      <c r="J3" s="11"/>
      <c r="L3" s="17"/>
    </row>
    <row r="4" spans="2:12" x14ac:dyDescent="0.3">
      <c r="B4" s="367" t="s">
        <v>142</v>
      </c>
      <c r="C4" s="368" t="str">
        <f>'Version Control'!C4</f>
        <v>v2.2</v>
      </c>
      <c r="I4" s="8"/>
      <c r="J4" s="11"/>
      <c r="L4" s="17"/>
    </row>
    <row r="5" spans="2:12" x14ac:dyDescent="0.3">
      <c r="B5" s="367" t="s">
        <v>475</v>
      </c>
      <c r="C5" s="369">
        <f>'Version Control'!C5</f>
        <v>43353</v>
      </c>
      <c r="I5" s="8"/>
      <c r="J5" s="11"/>
      <c r="L5" s="17"/>
    </row>
    <row r="6" spans="2:12" x14ac:dyDescent="0.3">
      <c r="B6" s="370" t="s">
        <v>141</v>
      </c>
      <c r="C6" s="371" t="str">
        <f ca="1">MID(CELL("filename",$A$1), FIND("]", CELL("filename", $A$1))+ 1, 255)</f>
        <v>Test Settings</v>
      </c>
      <c r="I6" s="8"/>
      <c r="J6" s="11"/>
      <c r="L6" s="17"/>
    </row>
    <row r="7" spans="2:12" x14ac:dyDescent="0.3">
      <c r="B7" s="361" t="s">
        <v>140</v>
      </c>
      <c r="C7" s="362" t="str">
        <f ca="1">'Version Control'!C7</f>
        <v>Commercial Air Conditioner and Heat Pump - v2.2.xlsx</v>
      </c>
      <c r="I7" s="8"/>
      <c r="J7" s="11"/>
      <c r="L7" s="17"/>
    </row>
    <row r="8" spans="2:12" ht="17.25" thickBot="1" x14ac:dyDescent="0.35">
      <c r="B8" s="372" t="s">
        <v>143</v>
      </c>
      <c r="C8" s="373" t="str">
        <f>'Version Control'!C8</f>
        <v>[MM/DD/YYYY]</v>
      </c>
      <c r="I8" s="8"/>
      <c r="J8" s="11"/>
      <c r="L8" s="17"/>
    </row>
    <row r="9" spans="2:12" ht="17.25" x14ac:dyDescent="0.35">
      <c r="B9" s="6"/>
      <c r="C9" s="15"/>
      <c r="D9" s="15"/>
      <c r="E9" s="15"/>
      <c r="F9" s="15"/>
      <c r="G9" s="15"/>
      <c r="H9" s="15"/>
      <c r="I9" s="15"/>
      <c r="J9" s="15"/>
      <c r="L9" s="17"/>
    </row>
    <row r="10" spans="2:12" ht="17.25" thickBot="1" x14ac:dyDescent="0.35">
      <c r="L10" s="17"/>
    </row>
    <row r="11" spans="2:12" s="6" customFormat="1" ht="18" thickBot="1" x14ac:dyDescent="0.4">
      <c r="B11" s="906" t="s">
        <v>608</v>
      </c>
      <c r="C11" s="907"/>
      <c r="D11" s="907"/>
      <c r="E11" s="907"/>
      <c r="F11" s="907"/>
      <c r="G11" s="907"/>
      <c r="H11" s="907"/>
      <c r="I11" s="907"/>
      <c r="J11" s="908"/>
      <c r="K11" s="5"/>
      <c r="L11" s="18"/>
    </row>
    <row r="12" spans="2:12" x14ac:dyDescent="0.3">
      <c r="B12" s="2"/>
      <c r="C12" s="7"/>
      <c r="D12" s="40"/>
      <c r="E12" s="7"/>
      <c r="F12" s="7"/>
      <c r="G12" s="7"/>
      <c r="H12" s="7"/>
      <c r="I12" s="7"/>
      <c r="J12" s="3"/>
      <c r="L12" s="17"/>
    </row>
    <row r="13" spans="2:12" ht="18.75" x14ac:dyDescent="0.35">
      <c r="B13" s="904" t="s">
        <v>391</v>
      </c>
      <c r="C13" s="905"/>
      <c r="D13" s="862" t="s">
        <v>638</v>
      </c>
      <c r="E13" s="862"/>
      <c r="F13" s="67"/>
      <c r="G13" s="7"/>
      <c r="H13" s="7"/>
      <c r="I13" s="7"/>
      <c r="J13" s="3"/>
      <c r="L13" s="17"/>
    </row>
    <row r="14" spans="2:12" x14ac:dyDescent="0.3">
      <c r="B14" s="2"/>
      <c r="C14" s="7"/>
      <c r="D14" s="7"/>
      <c r="E14" s="7"/>
      <c r="F14" s="7"/>
      <c r="G14" s="7"/>
      <c r="H14" s="7"/>
      <c r="I14" s="7"/>
      <c r="J14" s="3"/>
      <c r="L14" s="17"/>
    </row>
    <row r="15" spans="2:12" x14ac:dyDescent="0.3">
      <c r="B15" s="2" t="s">
        <v>40</v>
      </c>
      <c r="C15" s="7"/>
      <c r="D15" s="7"/>
      <c r="E15" s="7"/>
      <c r="F15" s="7"/>
      <c r="G15" s="7"/>
      <c r="H15" s="7"/>
      <c r="I15" s="7"/>
      <c r="J15" s="3"/>
      <c r="L15" s="17"/>
    </row>
    <row r="16" spans="2:12" x14ac:dyDescent="0.3">
      <c r="B16" s="847"/>
      <c r="C16" s="848"/>
      <c r="D16" s="848"/>
      <c r="E16" s="848"/>
      <c r="F16" s="848"/>
      <c r="G16" s="848"/>
      <c r="H16" s="848"/>
      <c r="I16" s="848"/>
      <c r="J16" s="849"/>
      <c r="L16" s="17"/>
    </row>
    <row r="17" spans="2:12" x14ac:dyDescent="0.3">
      <c r="B17" s="850"/>
      <c r="C17" s="851"/>
      <c r="D17" s="851"/>
      <c r="E17" s="851"/>
      <c r="F17" s="851"/>
      <c r="G17" s="851"/>
      <c r="H17" s="851"/>
      <c r="I17" s="851"/>
      <c r="J17" s="852"/>
      <c r="L17" s="17"/>
    </row>
    <row r="18" spans="2:12" x14ac:dyDescent="0.3">
      <c r="B18" s="850"/>
      <c r="C18" s="851"/>
      <c r="D18" s="851"/>
      <c r="E18" s="851"/>
      <c r="F18" s="851"/>
      <c r="G18" s="851"/>
      <c r="H18" s="851"/>
      <c r="I18" s="851"/>
      <c r="J18" s="852"/>
      <c r="L18" s="17"/>
    </row>
    <row r="19" spans="2:12" x14ac:dyDescent="0.3">
      <c r="B19" s="853"/>
      <c r="C19" s="854"/>
      <c r="D19" s="854"/>
      <c r="E19" s="854"/>
      <c r="F19" s="854"/>
      <c r="G19" s="854"/>
      <c r="H19" s="854"/>
      <c r="I19" s="854"/>
      <c r="J19" s="855"/>
      <c r="L19" s="17"/>
    </row>
    <row r="20" spans="2:12" x14ac:dyDescent="0.3">
      <c r="B20" s="2"/>
      <c r="C20" s="7"/>
      <c r="D20" s="7"/>
      <c r="E20" s="7"/>
      <c r="F20" s="7"/>
      <c r="G20" s="7"/>
      <c r="H20" s="7"/>
      <c r="I20" s="7"/>
      <c r="J20" s="3"/>
      <c r="L20" s="17"/>
    </row>
    <row r="21" spans="2:12" x14ac:dyDescent="0.3">
      <c r="B21" s="90" t="s">
        <v>41</v>
      </c>
      <c r="C21" s="89"/>
      <c r="D21" s="7"/>
      <c r="E21" s="7"/>
      <c r="F21" s="7"/>
      <c r="G21" s="7"/>
      <c r="H21" s="7"/>
      <c r="I21" s="7"/>
      <c r="J21" s="3"/>
      <c r="L21" s="17"/>
    </row>
    <row r="22" spans="2:12" x14ac:dyDescent="0.3">
      <c r="B22" s="2"/>
      <c r="C22" s="7"/>
      <c r="D22" s="7"/>
      <c r="E22" s="7"/>
      <c r="F22" s="7"/>
      <c r="G22" s="7"/>
      <c r="H22" s="7"/>
      <c r="I22" s="7"/>
      <c r="J22" s="3"/>
      <c r="L22" s="17"/>
    </row>
    <row r="23" spans="2:12" ht="17.25" x14ac:dyDescent="0.35">
      <c r="B23" s="2"/>
      <c r="C23" s="92" t="s">
        <v>554</v>
      </c>
      <c r="D23" s="92" t="s">
        <v>138</v>
      </c>
      <c r="E23" s="7"/>
      <c r="F23" s="7"/>
      <c r="G23" s="7"/>
      <c r="H23" s="7"/>
      <c r="I23" s="7"/>
      <c r="J23" s="3"/>
      <c r="L23" s="17"/>
    </row>
    <row r="24" spans="2:12" x14ac:dyDescent="0.3">
      <c r="B24" s="78" t="s">
        <v>392</v>
      </c>
      <c r="C24" s="89"/>
      <c r="D24" s="261"/>
      <c r="E24" s="7"/>
      <c r="F24" s="7"/>
      <c r="G24" s="7"/>
      <c r="H24" s="7"/>
      <c r="I24" s="7"/>
      <c r="J24" s="3"/>
      <c r="L24" s="17"/>
    </row>
    <row r="25" spans="2:12" x14ac:dyDescent="0.3">
      <c r="B25" s="78" t="s">
        <v>393</v>
      </c>
      <c r="C25" s="89"/>
      <c r="D25" s="261"/>
      <c r="E25" s="7"/>
      <c r="F25" s="7"/>
      <c r="G25" s="7"/>
      <c r="H25" s="7"/>
      <c r="I25" s="7"/>
      <c r="J25" s="3"/>
      <c r="L25" s="17"/>
    </row>
    <row r="26" spans="2:12" x14ac:dyDescent="0.3">
      <c r="B26" s="78" t="s">
        <v>394</v>
      </c>
      <c r="C26" s="89"/>
      <c r="D26" s="261"/>
      <c r="E26" s="7"/>
      <c r="F26" s="7"/>
      <c r="G26" s="7"/>
      <c r="H26" s="7"/>
      <c r="I26" s="7"/>
      <c r="J26" s="3"/>
      <c r="L26" s="17"/>
    </row>
    <row r="27" spans="2:12" x14ac:dyDescent="0.3">
      <c r="B27" s="78" t="s">
        <v>395</v>
      </c>
      <c r="C27" s="89"/>
      <c r="D27" s="261"/>
      <c r="E27" s="7"/>
      <c r="F27" s="7"/>
      <c r="G27" s="7"/>
      <c r="H27" s="7"/>
      <c r="I27" s="7"/>
      <c r="J27" s="3"/>
      <c r="L27" s="17"/>
    </row>
    <row r="28" spans="2:12" ht="19.5" x14ac:dyDescent="0.4">
      <c r="B28" s="68" t="s">
        <v>396</v>
      </c>
      <c r="C28" s="74"/>
      <c r="D28" s="7"/>
      <c r="E28" s="7"/>
      <c r="F28" s="7"/>
      <c r="G28" s="7"/>
      <c r="H28" s="7"/>
      <c r="I28" s="7"/>
      <c r="J28" s="3"/>
      <c r="L28" s="17"/>
    </row>
    <row r="29" spans="2:12" x14ac:dyDescent="0.3">
      <c r="B29" s="2"/>
      <c r="C29" s="7"/>
      <c r="D29" s="7"/>
      <c r="E29" s="7"/>
      <c r="F29" s="7"/>
      <c r="G29" s="7"/>
      <c r="H29" s="7"/>
      <c r="I29" s="7"/>
      <c r="J29" s="3"/>
      <c r="L29" s="17"/>
    </row>
    <row r="30" spans="2:12" ht="17.25" x14ac:dyDescent="0.35">
      <c r="B30" s="2" t="s">
        <v>42</v>
      </c>
      <c r="C30" s="92" t="s">
        <v>43</v>
      </c>
      <c r="D30" s="88"/>
      <c r="E30" s="92" t="s">
        <v>44</v>
      </c>
      <c r="F30" s="88"/>
      <c r="G30" s="92" t="s">
        <v>45</v>
      </c>
      <c r="H30" s="7"/>
      <c r="I30" s="7"/>
      <c r="J30" s="3"/>
      <c r="L30" s="17"/>
    </row>
    <row r="31" spans="2:12" x14ac:dyDescent="0.3">
      <c r="B31" s="91" t="s">
        <v>46</v>
      </c>
      <c r="C31" s="89"/>
      <c r="D31" s="7"/>
      <c r="E31" s="19"/>
      <c r="F31" s="7"/>
      <c r="G31" s="19"/>
      <c r="H31" s="7"/>
      <c r="I31" s="7"/>
      <c r="J31" s="3"/>
      <c r="L31" s="17"/>
    </row>
    <row r="32" spans="2:12" x14ac:dyDescent="0.3">
      <c r="B32" s="91" t="s">
        <v>397</v>
      </c>
      <c r="C32" s="89"/>
      <c r="D32" s="7"/>
      <c r="E32" s="19"/>
      <c r="F32" s="7"/>
      <c r="G32" s="19"/>
      <c r="H32" s="7"/>
      <c r="I32" s="7"/>
      <c r="J32" s="3"/>
      <c r="L32" s="17"/>
    </row>
    <row r="33" spans="1:12" ht="19.5" x14ac:dyDescent="0.4">
      <c r="B33" s="68" t="s">
        <v>396</v>
      </c>
      <c r="C33" s="7"/>
      <c r="D33" s="7"/>
      <c r="E33" s="8"/>
      <c r="F33" s="7"/>
      <c r="G33" s="7"/>
      <c r="H33" s="7"/>
      <c r="I33" s="7"/>
      <c r="J33" s="3"/>
      <c r="L33" s="17"/>
    </row>
    <row r="34" spans="1:12" ht="19.5" x14ac:dyDescent="0.4">
      <c r="B34" s="68"/>
      <c r="C34" s="7"/>
      <c r="D34" s="7"/>
      <c r="E34" s="8"/>
      <c r="F34" s="7"/>
      <c r="G34" s="7"/>
      <c r="H34" s="7"/>
      <c r="I34" s="7"/>
      <c r="J34" s="3"/>
      <c r="L34" s="17"/>
    </row>
    <row r="35" spans="1:12" x14ac:dyDescent="0.3">
      <c r="B35" s="69" t="s">
        <v>47</v>
      </c>
      <c r="C35" s="70"/>
      <c r="D35" s="7"/>
      <c r="E35" s="7"/>
      <c r="F35" s="7"/>
      <c r="G35" s="7"/>
      <c r="H35" s="7"/>
      <c r="I35" s="7"/>
      <c r="J35" s="3"/>
      <c r="L35" s="17"/>
    </row>
    <row r="36" spans="1:12" x14ac:dyDescent="0.3">
      <c r="B36" s="93" t="s">
        <v>398</v>
      </c>
      <c r="C36" s="94"/>
      <c r="D36" s="94"/>
      <c r="E36" s="94"/>
      <c r="F36" s="94"/>
      <c r="G36" s="94"/>
      <c r="H36" s="94"/>
      <c r="I36" s="94"/>
      <c r="J36" s="95"/>
      <c r="L36" s="17"/>
    </row>
    <row r="37" spans="1:12" x14ac:dyDescent="0.3">
      <c r="B37" s="847"/>
      <c r="C37" s="848"/>
      <c r="D37" s="848"/>
      <c r="E37" s="848"/>
      <c r="F37" s="848"/>
      <c r="G37" s="848"/>
      <c r="H37" s="848"/>
      <c r="I37" s="848"/>
      <c r="J37" s="849"/>
      <c r="L37" s="17"/>
    </row>
    <row r="38" spans="1:12" x14ac:dyDescent="0.3">
      <c r="B38" s="850"/>
      <c r="C38" s="851"/>
      <c r="D38" s="851"/>
      <c r="E38" s="851"/>
      <c r="F38" s="851"/>
      <c r="G38" s="851"/>
      <c r="H38" s="851"/>
      <c r="I38" s="851"/>
      <c r="J38" s="852"/>
      <c r="L38" s="17"/>
    </row>
    <row r="39" spans="1:12" x14ac:dyDescent="0.3">
      <c r="B39" s="850"/>
      <c r="C39" s="851"/>
      <c r="D39" s="851"/>
      <c r="E39" s="851"/>
      <c r="F39" s="851"/>
      <c r="G39" s="851"/>
      <c r="H39" s="851"/>
      <c r="I39" s="851"/>
      <c r="J39" s="852"/>
      <c r="L39" s="17"/>
    </row>
    <row r="40" spans="1:12" ht="17.25" thickBot="1" x14ac:dyDescent="0.35">
      <c r="B40" s="856"/>
      <c r="C40" s="857"/>
      <c r="D40" s="857"/>
      <c r="E40" s="857"/>
      <c r="F40" s="857"/>
      <c r="G40" s="857"/>
      <c r="H40" s="857"/>
      <c r="I40" s="857"/>
      <c r="J40" s="858"/>
      <c r="L40" s="17"/>
    </row>
    <row r="41" spans="1:12" x14ac:dyDescent="0.3">
      <c r="B41" s="7"/>
      <c r="C41" s="7"/>
      <c r="D41" s="7"/>
      <c r="E41" s="7"/>
      <c r="F41" s="7"/>
      <c r="G41" s="7"/>
      <c r="H41" s="7"/>
      <c r="I41" s="7"/>
      <c r="J41" s="7"/>
      <c r="K41" s="7"/>
      <c r="L41" s="17"/>
    </row>
    <row r="42" spans="1:12" s="16" customFormat="1" x14ac:dyDescent="0.3">
      <c r="A42" s="17"/>
      <c r="B42" s="17"/>
      <c r="C42" s="17"/>
      <c r="D42" s="17"/>
      <c r="E42" s="17"/>
      <c r="F42" s="17"/>
      <c r="G42" s="17"/>
      <c r="H42" s="17"/>
      <c r="I42" s="17"/>
      <c r="J42" s="17"/>
      <c r="K42" s="17"/>
      <c r="L42" s="17"/>
    </row>
  </sheetData>
  <sheetProtection password="CA08" sheet="1" objects="1" scenarios="1" selectLockedCells="1"/>
  <customSheetViews>
    <customSheetView guid="{2A4C6EB9-430A-44F2-86C8-15B50360FC3B}" scale="80" showGridLines="0">
      <selection activeCell="F2" sqref="F2"/>
      <pageMargins left="0.7" right="0.7" top="0.75" bottom="0.75" header="0.3" footer="0.3"/>
    </customSheetView>
    <customSheetView guid="{B3BD5AF3-9A64-4EA7-AE1F-3CC326849B8F}" scale="80" showGridLines="0">
      <selection activeCell="B29" sqref="B29"/>
      <pageMargins left="0.7" right="0.7" top="0.75" bottom="0.75" header="0.3" footer="0.3"/>
    </customSheetView>
  </customSheetViews>
  <mergeCells count="7">
    <mergeCell ref="B2:C2"/>
    <mergeCell ref="B16:J19"/>
    <mergeCell ref="B37:J40"/>
    <mergeCell ref="B13:C13"/>
    <mergeCell ref="E3:F3"/>
    <mergeCell ref="B11:J11"/>
    <mergeCell ref="D13:E13"/>
  </mergeCells>
  <phoneticPr fontId="26" type="noConversion"/>
  <dataValidations count="1">
    <dataValidation type="list" showInputMessage="1" showErrorMessage="1" sqref="C21" xr:uid="{00000000-0002-0000-0500-000000000000}">
      <formula1>Controls_Type</formula1>
    </dataValidation>
  </dataValidations>
  <hyperlinks>
    <hyperlink ref="D13" location="Photos!B80" display="the Photos tab (Photo Box #4)" xr:uid="{00000000-0004-0000-0500-000000000000}"/>
    <hyperlink ref="E3" location="Instructions!A1" display="Back to Instructions" xr:uid="{00000000-0004-0000-0500-000001000000}"/>
    <hyperlink ref="E3:F3" location="Instructions!A1" display="Back to Instructions tab" xr:uid="{00000000-0004-0000-0500-000002000000}"/>
    <hyperlink ref="D13:E13" location="Photos!B108" display="the Photos tab (Photo Box #8)" xr:uid="{00000000-0004-0000-0500-000003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70C0"/>
  </sheetPr>
  <dimension ref="A1:K167"/>
  <sheetViews>
    <sheetView showGridLines="0" showZeros="0" zoomScale="80" zoomScaleNormal="80" workbookViewId="0">
      <selection activeCell="E2" sqref="E2:F2"/>
    </sheetView>
  </sheetViews>
  <sheetFormatPr defaultColWidth="9.140625" defaultRowHeight="16.5" x14ac:dyDescent="0.3"/>
  <cols>
    <col min="1" max="1" width="3.5703125" style="5" customWidth="1"/>
    <col min="2" max="2" width="30.7109375" style="5" customWidth="1"/>
    <col min="3" max="3" width="69.140625" style="5" customWidth="1"/>
    <col min="4" max="4" width="21.7109375" style="5" customWidth="1"/>
    <col min="5" max="6" width="35.5703125" style="5" customWidth="1"/>
    <col min="7" max="7" width="7.85546875" style="5" customWidth="1"/>
    <col min="8" max="8" width="24.7109375" style="5" customWidth="1"/>
    <col min="9" max="9" width="24.42578125" style="5" customWidth="1"/>
    <col min="10" max="10" width="5.42578125" style="110" customWidth="1"/>
    <col min="11" max="11" width="4.42578125" style="5" customWidth="1"/>
    <col min="12" max="16384" width="9.140625" style="5"/>
  </cols>
  <sheetData>
    <row r="1" spans="1:11" ht="17.25" thickBot="1" x14ac:dyDescent="0.35">
      <c r="J1" s="123"/>
      <c r="K1" s="17"/>
    </row>
    <row r="2" spans="1:11" s="1" customFormat="1" ht="18.75" thickBot="1" x14ac:dyDescent="0.4">
      <c r="B2" s="805" t="s">
        <v>622</v>
      </c>
      <c r="C2" s="806"/>
      <c r="E2" s="840" t="s">
        <v>553</v>
      </c>
      <c r="F2" s="840"/>
      <c r="G2" s="332"/>
      <c r="J2" s="124"/>
      <c r="K2" s="125"/>
    </row>
    <row r="3" spans="1:11" s="1" customFormat="1" ht="17.25" customHeight="1" thickBot="1" x14ac:dyDescent="0.35">
      <c r="B3" s="365" t="s">
        <v>623</v>
      </c>
      <c r="C3" s="366" t="str">
        <f>'Version Control'!C3</f>
        <v>Commercial Air Conditioner and Heat Pump</v>
      </c>
      <c r="J3" s="124"/>
      <c r="K3" s="125"/>
    </row>
    <row r="4" spans="1:11" s="1" customFormat="1" ht="18" thickBot="1" x14ac:dyDescent="0.35">
      <c r="B4" s="367" t="s">
        <v>142</v>
      </c>
      <c r="C4" s="368" t="str">
        <f>'Version Control'!C4</f>
        <v>v2.2</v>
      </c>
      <c r="H4" s="942" t="s">
        <v>351</v>
      </c>
      <c r="I4" s="943"/>
      <c r="J4" s="124"/>
      <c r="K4" s="125"/>
    </row>
    <row r="5" spans="1:11" s="1" customFormat="1" x14ac:dyDescent="0.3">
      <c r="B5" s="367" t="s">
        <v>475</v>
      </c>
      <c r="C5" s="369">
        <f>'Version Control'!C5</f>
        <v>43353</v>
      </c>
      <c r="H5" s="45" t="s">
        <v>160</v>
      </c>
      <c r="I5" s="337">
        <f>'General Info and Test Results'!C24</f>
        <v>0</v>
      </c>
      <c r="J5" s="124"/>
      <c r="K5" s="125"/>
    </row>
    <row r="6" spans="1:11" s="1" customFormat="1" x14ac:dyDescent="0.3">
      <c r="B6" s="370" t="s">
        <v>141</v>
      </c>
      <c r="C6" s="371" t="str">
        <f ca="1">MID(CELL("filename",$A$1), FIND("]", CELL("filename", $A$1))+ 1, 255)</f>
        <v>A Test Recorded Data</v>
      </c>
      <c r="H6" s="46" t="s">
        <v>155</v>
      </c>
      <c r="I6" s="338">
        <f>'General Info and Test Results'!C25</f>
        <v>0</v>
      </c>
      <c r="J6" s="124"/>
      <c r="K6" s="125"/>
    </row>
    <row r="7" spans="1:11" s="1" customFormat="1" ht="17.25" thickBot="1" x14ac:dyDescent="0.35">
      <c r="B7" s="361" t="s">
        <v>140</v>
      </c>
      <c r="C7" s="362" t="str">
        <f ca="1">'Version Control'!C7</f>
        <v>Commercial Air Conditioner and Heat Pump - v2.2.xlsx</v>
      </c>
      <c r="H7" s="47" t="s">
        <v>201</v>
      </c>
      <c r="I7" s="339">
        <f>'General Info and Test Results'!C26</f>
        <v>0</v>
      </c>
      <c r="J7" s="124"/>
      <c r="K7" s="125"/>
    </row>
    <row r="8" spans="1:11" s="1" customFormat="1" ht="17.25" thickBot="1" x14ac:dyDescent="0.35">
      <c r="B8" s="372" t="s">
        <v>143</v>
      </c>
      <c r="C8" s="373" t="str">
        <f>'Version Control'!C8</f>
        <v>[MM/DD/YYYY]</v>
      </c>
      <c r="G8" s="12"/>
      <c r="H8" s="8"/>
      <c r="J8" s="124"/>
      <c r="K8" s="125"/>
    </row>
    <row r="9" spans="1:11" s="1" customFormat="1" x14ac:dyDescent="0.3">
      <c r="B9" s="4"/>
      <c r="C9" s="232"/>
      <c r="G9" s="12"/>
      <c r="H9" s="8"/>
      <c r="J9" s="124"/>
      <c r="K9" s="125"/>
    </row>
    <row r="10" spans="1:11" ht="17.25" thickBot="1" x14ac:dyDescent="0.35">
      <c r="E10" s="162"/>
      <c r="F10" s="162"/>
      <c r="G10" s="162"/>
      <c r="H10" s="162"/>
      <c r="K10" s="17"/>
    </row>
    <row r="11" spans="1:11" ht="18.75" thickBot="1" x14ac:dyDescent="0.4">
      <c r="B11" s="380"/>
      <c r="C11" s="939" t="s">
        <v>417</v>
      </c>
      <c r="D11" s="941"/>
      <c r="E11" s="381"/>
      <c r="F11" s="382"/>
      <c r="G11" s="382"/>
      <c r="H11" s="162"/>
      <c r="K11" s="17"/>
    </row>
    <row r="12" spans="1:11" ht="17.25" x14ac:dyDescent="0.35">
      <c r="B12" s="380"/>
      <c r="C12" s="383" t="s">
        <v>52</v>
      </c>
      <c r="D12" s="384"/>
      <c r="E12" s="381"/>
      <c r="F12" s="382"/>
      <c r="G12" s="382"/>
      <c r="H12" s="162"/>
      <c r="K12" s="17"/>
    </row>
    <row r="13" spans="1:11" ht="17.25" x14ac:dyDescent="0.35">
      <c r="A13" s="7"/>
      <c r="B13" s="385"/>
      <c r="C13" s="386" t="s">
        <v>53</v>
      </c>
      <c r="D13" s="387"/>
      <c r="E13" s="381"/>
      <c r="F13" s="382"/>
      <c r="G13" s="382"/>
      <c r="H13" s="162"/>
      <c r="K13" s="17"/>
    </row>
    <row r="14" spans="1:11" x14ac:dyDescent="0.3">
      <c r="A14" s="7"/>
      <c r="B14" s="388"/>
      <c r="C14" s="386" t="s">
        <v>129</v>
      </c>
      <c r="D14" s="389">
        <f>'General Info and Test Results'!C32</f>
        <v>0</v>
      </c>
      <c r="E14" s="381"/>
      <c r="F14" s="920"/>
      <c r="G14" s="920"/>
      <c r="H14" s="162"/>
      <c r="K14" s="17"/>
    </row>
    <row r="15" spans="1:11" x14ac:dyDescent="0.3">
      <c r="A15" s="7"/>
      <c r="B15" s="388"/>
      <c r="C15" s="386" t="s">
        <v>130</v>
      </c>
      <c r="D15" s="390"/>
      <c r="E15" s="381"/>
      <c r="F15" s="382"/>
      <c r="G15" s="382"/>
      <c r="H15" s="162"/>
      <c r="K15" s="17"/>
    </row>
    <row r="16" spans="1:11" x14ac:dyDescent="0.3">
      <c r="A16" s="7"/>
      <c r="B16" s="388"/>
      <c r="C16" s="386" t="s">
        <v>131</v>
      </c>
      <c r="D16" s="390"/>
      <c r="E16" s="381"/>
      <c r="F16" s="382"/>
      <c r="G16" s="382"/>
      <c r="H16" s="162"/>
      <c r="K16" s="17"/>
    </row>
    <row r="17" spans="1:11" ht="17.25" thickBot="1" x14ac:dyDescent="0.35">
      <c r="A17" s="7"/>
      <c r="B17" s="388"/>
      <c r="C17" s="391" t="s">
        <v>480</v>
      </c>
      <c r="D17" s="392">
        <v>0</v>
      </c>
      <c r="E17" s="393"/>
      <c r="F17" s="382"/>
      <c r="G17" s="382"/>
      <c r="H17" s="162"/>
      <c r="K17" s="17"/>
    </row>
    <row r="18" spans="1:11" s="6" customFormat="1" ht="18" thickBot="1" x14ac:dyDescent="0.4">
      <c r="B18" s="385"/>
      <c r="C18" s="394"/>
      <c r="D18" s="394"/>
      <c r="E18" s="385"/>
      <c r="F18" s="385"/>
      <c r="G18" s="385"/>
      <c r="J18" s="111"/>
      <c r="K18" s="18"/>
    </row>
    <row r="19" spans="1:11" ht="18.75" thickBot="1" x14ac:dyDescent="0.4">
      <c r="B19" s="926" t="str">
        <f>IF(AND($I$6="Single-Speed",$I$7="Fixed Speed"),"'A Test' Data to be recorded","'A1 Test' Data to be recorded")</f>
        <v>'A1 Test' Data to be recorded</v>
      </c>
      <c r="C19" s="927"/>
      <c r="D19" s="927"/>
      <c r="E19" s="927"/>
      <c r="F19" s="927"/>
      <c r="G19" s="928"/>
      <c r="K19" s="17"/>
    </row>
    <row r="20" spans="1:11" ht="18" thickBot="1" x14ac:dyDescent="0.4">
      <c r="B20" s="395"/>
      <c r="C20" s="396"/>
      <c r="D20" s="388"/>
      <c r="E20" s="388"/>
      <c r="F20" s="388"/>
      <c r="G20" s="384"/>
      <c r="K20" s="17"/>
    </row>
    <row r="21" spans="1:11" ht="18" thickBot="1" x14ac:dyDescent="0.4">
      <c r="B21" s="395"/>
      <c r="C21" s="913" t="s">
        <v>55</v>
      </c>
      <c r="D21" s="914"/>
      <c r="E21" s="914"/>
      <c r="F21" s="915"/>
      <c r="G21" s="397"/>
      <c r="K21" s="17"/>
    </row>
    <row r="22" spans="1:11" ht="17.25" x14ac:dyDescent="0.35">
      <c r="B22" s="395"/>
      <c r="C22" s="398"/>
      <c r="D22" s="916" t="s">
        <v>48</v>
      </c>
      <c r="E22" s="916"/>
      <c r="F22" s="917"/>
      <c r="G22" s="399"/>
      <c r="I22" s="127"/>
      <c r="K22" s="17"/>
    </row>
    <row r="23" spans="1:11" ht="17.25" x14ac:dyDescent="0.35">
      <c r="B23" s="400"/>
      <c r="C23" s="395"/>
      <c r="D23" s="401" t="s">
        <v>56</v>
      </c>
      <c r="E23" s="401" t="s">
        <v>57</v>
      </c>
      <c r="F23" s="402" t="s">
        <v>58</v>
      </c>
      <c r="G23" s="399"/>
      <c r="I23" s="127"/>
      <c r="K23" s="17"/>
    </row>
    <row r="24" spans="1:11" x14ac:dyDescent="0.3">
      <c r="B24" s="395"/>
      <c r="C24" s="386" t="s">
        <v>442</v>
      </c>
      <c r="D24" s="403"/>
      <c r="E24" s="403"/>
      <c r="F24" s="390"/>
      <c r="G24" s="399"/>
      <c r="I24" s="128"/>
      <c r="K24" s="17"/>
    </row>
    <row r="25" spans="1:11" x14ac:dyDescent="0.3">
      <c r="B25" s="395"/>
      <c r="C25" s="386" t="s">
        <v>443</v>
      </c>
      <c r="D25" s="403"/>
      <c r="E25" s="403"/>
      <c r="F25" s="390"/>
      <c r="G25" s="399"/>
      <c r="I25" s="128"/>
      <c r="K25" s="17"/>
    </row>
    <row r="26" spans="1:11" x14ac:dyDescent="0.3">
      <c r="B26" s="395"/>
      <c r="C26" s="386" t="s">
        <v>59</v>
      </c>
      <c r="D26" s="403"/>
      <c r="E26" s="403"/>
      <c r="F26" s="390"/>
      <c r="G26" s="399"/>
      <c r="I26" s="128"/>
      <c r="K26" s="17"/>
    </row>
    <row r="27" spans="1:11" x14ac:dyDescent="0.3">
      <c r="B27" s="395"/>
      <c r="C27" s="386" t="s">
        <v>60</v>
      </c>
      <c r="D27" s="403"/>
      <c r="E27" s="403"/>
      <c r="F27" s="390"/>
      <c r="G27" s="399"/>
      <c r="I27" s="128"/>
      <c r="K27" s="17"/>
    </row>
    <row r="28" spans="1:11" x14ac:dyDescent="0.3">
      <c r="B28" s="395"/>
      <c r="C28" s="386" t="s">
        <v>445</v>
      </c>
      <c r="D28" s="403"/>
      <c r="E28" s="388"/>
      <c r="F28" s="399"/>
      <c r="G28" s="399"/>
      <c r="I28" s="128"/>
      <c r="K28" s="17"/>
    </row>
    <row r="29" spans="1:11" ht="17.25" thickBot="1" x14ac:dyDescent="0.35">
      <c r="B29" s="395"/>
      <c r="C29" s="391" t="s">
        <v>453</v>
      </c>
      <c r="D29" s="404"/>
      <c r="E29" s="405"/>
      <c r="F29" s="406"/>
      <c r="G29" s="399"/>
      <c r="I29" s="128"/>
      <c r="K29" s="17"/>
    </row>
    <row r="30" spans="1:11" ht="17.25" thickBot="1" x14ac:dyDescent="0.35">
      <c r="B30" s="395"/>
      <c r="C30" s="407"/>
      <c r="D30" s="388"/>
      <c r="E30" s="388"/>
      <c r="F30" s="388"/>
      <c r="G30" s="399"/>
      <c r="I30" s="128"/>
      <c r="K30" s="17"/>
    </row>
    <row r="31" spans="1:11" ht="18" thickBot="1" x14ac:dyDescent="0.4">
      <c r="B31" s="395"/>
      <c r="C31" s="913" t="s">
        <v>61</v>
      </c>
      <c r="D31" s="914"/>
      <c r="E31" s="914"/>
      <c r="F31" s="915"/>
      <c r="G31" s="397"/>
      <c r="I31" s="128"/>
      <c r="K31" s="17"/>
    </row>
    <row r="32" spans="1:11" ht="17.25" x14ac:dyDescent="0.35">
      <c r="B32" s="395"/>
      <c r="C32" s="398"/>
      <c r="D32" s="916" t="s">
        <v>48</v>
      </c>
      <c r="E32" s="916"/>
      <c r="F32" s="917"/>
      <c r="G32" s="397"/>
      <c r="I32" s="128"/>
      <c r="K32" s="17"/>
    </row>
    <row r="33" spans="2:11" ht="17.25" x14ac:dyDescent="0.35">
      <c r="B33" s="400"/>
      <c r="C33" s="408"/>
      <c r="D33" s="409" t="s">
        <v>56</v>
      </c>
      <c r="E33" s="409" t="s">
        <v>57</v>
      </c>
      <c r="F33" s="410" t="s">
        <v>58</v>
      </c>
      <c r="G33" s="397"/>
      <c r="I33" s="128"/>
      <c r="K33" s="17"/>
    </row>
    <row r="34" spans="2:11" x14ac:dyDescent="0.3">
      <c r="B34" s="395"/>
      <c r="C34" s="386" t="s">
        <v>62</v>
      </c>
      <c r="D34" s="403"/>
      <c r="E34" s="403"/>
      <c r="F34" s="390"/>
      <c r="G34" s="397"/>
      <c r="I34" s="128"/>
      <c r="K34" s="17"/>
    </row>
    <row r="35" spans="2:11" x14ac:dyDescent="0.3">
      <c r="B35" s="395"/>
      <c r="C35" s="386" t="s">
        <v>63</v>
      </c>
      <c r="D35" s="403"/>
      <c r="E35" s="403"/>
      <c r="F35" s="390"/>
      <c r="G35" s="397"/>
      <c r="I35" s="128"/>
      <c r="K35" s="17"/>
    </row>
    <row r="36" spans="2:11" x14ac:dyDescent="0.3">
      <c r="B36" s="395"/>
      <c r="C36" s="386" t="s">
        <v>64</v>
      </c>
      <c r="D36" s="403"/>
      <c r="E36" s="403"/>
      <c r="F36" s="390"/>
      <c r="G36" s="397"/>
      <c r="I36" s="128"/>
      <c r="K36" s="17"/>
    </row>
    <row r="37" spans="2:11" x14ac:dyDescent="0.3">
      <c r="B37" s="395"/>
      <c r="C37" s="386" t="s">
        <v>422</v>
      </c>
      <c r="D37" s="403"/>
      <c r="E37" s="403"/>
      <c r="F37" s="390"/>
      <c r="G37" s="397"/>
      <c r="I37" s="128"/>
      <c r="K37" s="17"/>
    </row>
    <row r="38" spans="2:11" ht="17.25" thickBot="1" x14ac:dyDescent="0.35">
      <c r="B38" s="395"/>
      <c r="C38" s="391" t="s">
        <v>437</v>
      </c>
      <c r="D38" s="404"/>
      <c r="E38" s="404"/>
      <c r="F38" s="392"/>
      <c r="G38" s="397"/>
      <c r="I38" s="128"/>
      <c r="K38" s="17"/>
    </row>
    <row r="39" spans="2:11" ht="17.25" thickBot="1" x14ac:dyDescent="0.35">
      <c r="B39" s="395"/>
      <c r="C39" s="388"/>
      <c r="D39" s="388"/>
      <c r="E39" s="388"/>
      <c r="F39" s="388"/>
      <c r="G39" s="399"/>
      <c r="I39" s="128"/>
      <c r="K39" s="17"/>
    </row>
    <row r="40" spans="2:11" ht="18" thickBot="1" x14ac:dyDescent="0.4">
      <c r="B40" s="395"/>
      <c r="C40" s="913" t="s">
        <v>65</v>
      </c>
      <c r="D40" s="914"/>
      <c r="E40" s="914"/>
      <c r="F40" s="915"/>
      <c r="G40" s="397"/>
      <c r="I40" s="128"/>
      <c r="K40" s="17"/>
    </row>
    <row r="41" spans="2:11" ht="17.25" x14ac:dyDescent="0.35">
      <c r="B41" s="395"/>
      <c r="C41" s="398"/>
      <c r="D41" s="916" t="s">
        <v>48</v>
      </c>
      <c r="E41" s="916"/>
      <c r="F41" s="917"/>
      <c r="G41" s="397"/>
      <c r="I41" s="128"/>
      <c r="K41" s="17"/>
    </row>
    <row r="42" spans="2:11" ht="17.25" x14ac:dyDescent="0.35">
      <c r="B42" s="400"/>
      <c r="C42" s="395"/>
      <c r="D42" s="409" t="s">
        <v>56</v>
      </c>
      <c r="E42" s="409" t="s">
        <v>57</v>
      </c>
      <c r="F42" s="410" t="s">
        <v>58</v>
      </c>
      <c r="G42" s="397"/>
      <c r="I42" s="128"/>
      <c r="K42" s="17"/>
    </row>
    <row r="43" spans="2:11" x14ac:dyDescent="0.3">
      <c r="B43" s="395"/>
      <c r="C43" s="411" t="s">
        <v>66</v>
      </c>
      <c r="D43" s="403"/>
      <c r="E43" s="403"/>
      <c r="F43" s="390"/>
      <c r="G43" s="397"/>
      <c r="I43" s="128"/>
      <c r="K43" s="17"/>
    </row>
    <row r="44" spans="2:11" x14ac:dyDescent="0.3">
      <c r="B44" s="395"/>
      <c r="C44" s="411" t="s">
        <v>67</v>
      </c>
      <c r="D44" s="403"/>
      <c r="E44" s="403"/>
      <c r="F44" s="390"/>
      <c r="G44" s="397"/>
      <c r="I44" s="128"/>
      <c r="K44" s="17"/>
    </row>
    <row r="45" spans="2:11" x14ac:dyDescent="0.3">
      <c r="B45" s="395"/>
      <c r="C45" s="411" t="s">
        <v>68</v>
      </c>
      <c r="D45" s="403"/>
      <c r="E45" s="403"/>
      <c r="F45" s="390"/>
      <c r="G45" s="397"/>
      <c r="I45" s="128"/>
      <c r="K45" s="17"/>
    </row>
    <row r="46" spans="2:11" x14ac:dyDescent="0.3">
      <c r="B46" s="395"/>
      <c r="C46" s="411" t="s">
        <v>69</v>
      </c>
      <c r="D46" s="403"/>
      <c r="E46" s="403"/>
      <c r="F46" s="390"/>
      <c r="G46" s="397"/>
      <c r="I46" s="128"/>
      <c r="K46" s="17"/>
    </row>
    <row r="47" spans="2:11" x14ac:dyDescent="0.3">
      <c r="B47" s="395"/>
      <c r="C47" s="411" t="s">
        <v>70</v>
      </c>
      <c r="D47" s="403"/>
      <c r="E47" s="403"/>
      <c r="F47" s="390"/>
      <c r="G47" s="397"/>
      <c r="I47" s="128"/>
      <c r="K47" s="17"/>
    </row>
    <row r="48" spans="2:11" x14ac:dyDescent="0.3">
      <c r="B48" s="395"/>
      <c r="C48" s="411" t="s">
        <v>71</v>
      </c>
      <c r="D48" s="403"/>
      <c r="E48" s="403"/>
      <c r="F48" s="390"/>
      <c r="G48" s="397"/>
      <c r="I48" s="128"/>
      <c r="K48" s="17"/>
    </row>
    <row r="49" spans="2:11" x14ac:dyDescent="0.3">
      <c r="B49" s="395"/>
      <c r="C49" s="411" t="s">
        <v>72</v>
      </c>
      <c r="D49" s="403"/>
      <c r="E49" s="403"/>
      <c r="F49" s="390"/>
      <c r="G49" s="397"/>
      <c r="I49" s="128"/>
      <c r="K49" s="17"/>
    </row>
    <row r="50" spans="2:11" x14ac:dyDescent="0.3">
      <c r="B50" s="395"/>
      <c r="C50" s="411" t="s">
        <v>73</v>
      </c>
      <c r="D50" s="403"/>
      <c r="E50" s="403"/>
      <c r="F50" s="390"/>
      <c r="G50" s="397"/>
      <c r="I50" s="128"/>
      <c r="K50" s="17"/>
    </row>
    <row r="51" spans="2:11" x14ac:dyDescent="0.3">
      <c r="B51" s="395"/>
      <c r="C51" s="411" t="s">
        <v>74</v>
      </c>
      <c r="D51" s="403"/>
      <c r="E51" s="403"/>
      <c r="F51" s="390"/>
      <c r="G51" s="397"/>
      <c r="I51" s="128"/>
      <c r="K51" s="17"/>
    </row>
    <row r="52" spans="2:11" x14ac:dyDescent="0.3">
      <c r="B52" s="395"/>
      <c r="C52" s="411" t="s">
        <v>75</v>
      </c>
      <c r="D52" s="403"/>
      <c r="E52" s="403"/>
      <c r="F52" s="390"/>
      <c r="G52" s="397"/>
      <c r="I52" s="128"/>
      <c r="K52" s="17"/>
    </row>
    <row r="53" spans="2:11" ht="17.25" thickBot="1" x14ac:dyDescent="0.35">
      <c r="B53" s="395"/>
      <c r="C53" s="412" t="s">
        <v>76</v>
      </c>
      <c r="D53" s="404"/>
      <c r="E53" s="404"/>
      <c r="F53" s="392"/>
      <c r="G53" s="397"/>
      <c r="I53" s="128"/>
      <c r="K53" s="17"/>
    </row>
    <row r="54" spans="2:11" ht="17.25" thickBot="1" x14ac:dyDescent="0.35">
      <c r="B54" s="395"/>
      <c r="C54" s="388"/>
      <c r="D54" s="388"/>
      <c r="E54" s="388"/>
      <c r="F54" s="388"/>
      <c r="G54" s="399"/>
      <c r="I54" s="128"/>
      <c r="K54" s="17"/>
    </row>
    <row r="55" spans="2:11" ht="18" thickBot="1" x14ac:dyDescent="0.4">
      <c r="B55" s="395"/>
      <c r="C55" s="913" t="s">
        <v>77</v>
      </c>
      <c r="D55" s="914"/>
      <c r="E55" s="914"/>
      <c r="F55" s="915"/>
      <c r="G55" s="397"/>
      <c r="I55" s="128"/>
      <c r="K55" s="17"/>
    </row>
    <row r="56" spans="2:11" ht="17.25" x14ac:dyDescent="0.35">
      <c r="B56" s="395"/>
      <c r="C56" s="398"/>
      <c r="D56" s="916" t="s">
        <v>48</v>
      </c>
      <c r="E56" s="916"/>
      <c r="F56" s="917"/>
      <c r="G56" s="397"/>
      <c r="I56" s="128"/>
      <c r="K56" s="17"/>
    </row>
    <row r="57" spans="2:11" ht="17.25" x14ac:dyDescent="0.35">
      <c r="B57" s="400"/>
      <c r="C57" s="395"/>
      <c r="D57" s="409" t="s">
        <v>56</v>
      </c>
      <c r="E57" s="409" t="s">
        <v>57</v>
      </c>
      <c r="F57" s="410" t="s">
        <v>58</v>
      </c>
      <c r="G57" s="397"/>
      <c r="I57" s="128"/>
      <c r="K57" s="17"/>
    </row>
    <row r="58" spans="2:11" x14ac:dyDescent="0.3">
      <c r="B58" s="395"/>
      <c r="C58" s="411" t="s">
        <v>306</v>
      </c>
      <c r="D58" s="403"/>
      <c r="E58" s="403"/>
      <c r="F58" s="390"/>
      <c r="G58" s="397"/>
      <c r="I58" s="128"/>
      <c r="K58" s="17"/>
    </row>
    <row r="59" spans="2:11" x14ac:dyDescent="0.3">
      <c r="B59" s="395"/>
      <c r="C59" s="411" t="s">
        <v>307</v>
      </c>
      <c r="D59" s="403"/>
      <c r="E59" s="403"/>
      <c r="F59" s="390"/>
      <c r="G59" s="397"/>
      <c r="I59" s="128"/>
      <c r="K59" s="17"/>
    </row>
    <row r="60" spans="2:11" x14ac:dyDescent="0.3">
      <c r="B60" s="395"/>
      <c r="C60" s="411" t="s">
        <v>80</v>
      </c>
      <c r="D60" s="403"/>
      <c r="E60" s="403"/>
      <c r="F60" s="390"/>
      <c r="G60" s="397"/>
      <c r="I60" s="128"/>
      <c r="K60" s="17"/>
    </row>
    <row r="61" spans="2:11" x14ac:dyDescent="0.3">
      <c r="B61" s="395"/>
      <c r="C61" s="411" t="s">
        <v>81</v>
      </c>
      <c r="D61" s="403"/>
      <c r="E61" s="403"/>
      <c r="F61" s="390"/>
      <c r="G61" s="397"/>
      <c r="I61" s="128"/>
      <c r="K61" s="17"/>
    </row>
    <row r="62" spans="2:11" ht="17.25" thickBot="1" x14ac:dyDescent="0.35">
      <c r="B62" s="395"/>
      <c r="C62" s="412" t="s">
        <v>438</v>
      </c>
      <c r="D62" s="404"/>
      <c r="E62" s="404"/>
      <c r="F62" s="392"/>
      <c r="G62" s="397"/>
      <c r="I62" s="128"/>
      <c r="K62" s="17"/>
    </row>
    <row r="63" spans="2:11" ht="17.25" thickBot="1" x14ac:dyDescent="0.35">
      <c r="B63" s="395"/>
      <c r="C63" s="388"/>
      <c r="D63" s="388"/>
      <c r="E63" s="388"/>
      <c r="F63" s="388"/>
      <c r="G63" s="399"/>
      <c r="I63" s="128"/>
      <c r="K63" s="17"/>
    </row>
    <row r="64" spans="2:11" ht="18" thickBot="1" x14ac:dyDescent="0.4">
      <c r="B64" s="395"/>
      <c r="C64" s="913" t="s">
        <v>82</v>
      </c>
      <c r="D64" s="914"/>
      <c r="E64" s="914"/>
      <c r="F64" s="915"/>
      <c r="G64" s="397"/>
      <c r="I64" s="128"/>
      <c r="K64" s="17"/>
    </row>
    <row r="65" spans="2:11" ht="17.25" x14ac:dyDescent="0.35">
      <c r="B65" s="395"/>
      <c r="C65" s="398"/>
      <c r="D65" s="916" t="s">
        <v>48</v>
      </c>
      <c r="E65" s="916"/>
      <c r="F65" s="917"/>
      <c r="G65" s="397"/>
      <c r="I65" s="128"/>
      <c r="K65" s="17"/>
    </row>
    <row r="66" spans="2:11" ht="17.25" x14ac:dyDescent="0.35">
      <c r="B66" s="413"/>
      <c r="C66" s="395"/>
      <c r="D66" s="409" t="s">
        <v>56</v>
      </c>
      <c r="E66" s="409" t="s">
        <v>57</v>
      </c>
      <c r="F66" s="410" t="s">
        <v>58</v>
      </c>
      <c r="G66" s="397"/>
      <c r="I66" s="128"/>
      <c r="K66" s="17"/>
    </row>
    <row r="67" spans="2:11" x14ac:dyDescent="0.3">
      <c r="B67" s="395"/>
      <c r="C67" s="414" t="s">
        <v>83</v>
      </c>
      <c r="D67" s="403"/>
      <c r="E67" s="403"/>
      <c r="F67" s="390"/>
      <c r="G67" s="397"/>
      <c r="I67" s="128"/>
      <c r="K67" s="17"/>
    </row>
    <row r="68" spans="2:11" x14ac:dyDescent="0.3">
      <c r="B68" s="395"/>
      <c r="C68" s="414" t="s">
        <v>84</v>
      </c>
      <c r="D68" s="403"/>
      <c r="E68" s="403"/>
      <c r="F68" s="390"/>
      <c r="G68" s="397"/>
      <c r="I68" s="128"/>
      <c r="K68" s="17"/>
    </row>
    <row r="69" spans="2:11" x14ac:dyDescent="0.3">
      <c r="B69" s="395"/>
      <c r="C69" s="414" t="s">
        <v>85</v>
      </c>
      <c r="D69" s="403"/>
      <c r="E69" s="403"/>
      <c r="F69" s="390"/>
      <c r="G69" s="397"/>
      <c r="I69" s="128"/>
      <c r="K69" s="17"/>
    </row>
    <row r="70" spans="2:11" x14ac:dyDescent="0.3">
      <c r="B70" s="395"/>
      <c r="C70" s="414" t="s">
        <v>86</v>
      </c>
      <c r="D70" s="403"/>
      <c r="E70" s="403"/>
      <c r="F70" s="390"/>
      <c r="G70" s="397"/>
      <c r="I70" s="128"/>
      <c r="K70" s="17"/>
    </row>
    <row r="71" spans="2:11" x14ac:dyDescent="0.3">
      <c r="B71" s="395"/>
      <c r="C71" s="414" t="s">
        <v>87</v>
      </c>
      <c r="D71" s="403"/>
      <c r="E71" s="403"/>
      <c r="F71" s="390"/>
      <c r="G71" s="397"/>
      <c r="I71" s="128"/>
      <c r="K71" s="17"/>
    </row>
    <row r="72" spans="2:11" x14ac:dyDescent="0.3">
      <c r="B72" s="395"/>
      <c r="C72" s="414" t="s">
        <v>88</v>
      </c>
      <c r="D72" s="403"/>
      <c r="E72" s="403"/>
      <c r="F72" s="390"/>
      <c r="G72" s="397"/>
      <c r="I72" s="128"/>
      <c r="K72" s="17"/>
    </row>
    <row r="73" spans="2:11" x14ac:dyDescent="0.3">
      <c r="B73" s="395"/>
      <c r="C73" s="414" t="s">
        <v>89</v>
      </c>
      <c r="D73" s="403"/>
      <c r="E73" s="403"/>
      <c r="F73" s="390"/>
      <c r="G73" s="397"/>
      <c r="I73" s="128"/>
      <c r="K73" s="17"/>
    </row>
    <row r="74" spans="2:11" ht="17.25" thickBot="1" x14ac:dyDescent="0.35">
      <c r="B74" s="395"/>
      <c r="C74" s="415" t="s">
        <v>90</v>
      </c>
      <c r="D74" s="404"/>
      <c r="E74" s="404"/>
      <c r="F74" s="392"/>
      <c r="G74" s="397"/>
      <c r="I74" s="128"/>
      <c r="K74" s="17"/>
    </row>
    <row r="75" spans="2:11" ht="17.25" thickBot="1" x14ac:dyDescent="0.35">
      <c r="B75" s="395"/>
      <c r="C75" s="388"/>
      <c r="D75" s="388"/>
      <c r="E75" s="388"/>
      <c r="F75" s="388"/>
      <c r="G75" s="399"/>
      <c r="I75" s="128"/>
      <c r="K75" s="17"/>
    </row>
    <row r="76" spans="2:11" ht="18" thickBot="1" x14ac:dyDescent="0.4">
      <c r="B76" s="395"/>
      <c r="C76" s="913" t="s">
        <v>196</v>
      </c>
      <c r="D76" s="914"/>
      <c r="E76" s="914"/>
      <c r="F76" s="915"/>
      <c r="G76" s="397"/>
      <c r="I76" s="128"/>
      <c r="K76" s="17"/>
    </row>
    <row r="77" spans="2:11" ht="17.25" x14ac:dyDescent="0.35">
      <c r="B77" s="400"/>
      <c r="C77" s="398"/>
      <c r="D77" s="916" t="s">
        <v>48</v>
      </c>
      <c r="E77" s="916"/>
      <c r="F77" s="917"/>
      <c r="G77" s="399"/>
      <c r="I77" s="128"/>
      <c r="K77" s="17"/>
    </row>
    <row r="78" spans="2:11" x14ac:dyDescent="0.3">
      <c r="B78" s="395"/>
      <c r="C78" s="414" t="s">
        <v>195</v>
      </c>
      <c r="D78" s="929"/>
      <c r="E78" s="930"/>
      <c r="F78" s="931"/>
      <c r="G78" s="399"/>
      <c r="I78" s="128"/>
      <c r="K78" s="17"/>
    </row>
    <row r="79" spans="2:11" x14ac:dyDescent="0.3">
      <c r="B79" s="395"/>
      <c r="C79" s="414" t="s">
        <v>194</v>
      </c>
      <c r="D79" s="929"/>
      <c r="E79" s="930"/>
      <c r="F79" s="931"/>
      <c r="G79" s="399"/>
      <c r="I79" s="128"/>
      <c r="K79" s="17"/>
    </row>
    <row r="80" spans="2:11" x14ac:dyDescent="0.3">
      <c r="B80" s="395"/>
      <c r="C80" s="414" t="s">
        <v>308</v>
      </c>
      <c r="D80" s="929"/>
      <c r="E80" s="930"/>
      <c r="F80" s="931"/>
      <c r="G80" s="399"/>
      <c r="I80" s="128"/>
      <c r="K80" s="17"/>
    </row>
    <row r="81" spans="2:11" x14ac:dyDescent="0.3">
      <c r="B81" s="395"/>
      <c r="C81" s="414" t="s">
        <v>94</v>
      </c>
      <c r="D81" s="923" t="str">
        <f>IF(D78+D80=0,"",D78+D80)</f>
        <v/>
      </c>
      <c r="E81" s="924"/>
      <c r="F81" s="925"/>
      <c r="G81" s="399"/>
      <c r="I81" s="129"/>
      <c r="K81" s="17"/>
    </row>
    <row r="82" spans="2:11" x14ac:dyDescent="0.3">
      <c r="B82" s="395"/>
      <c r="C82" s="414" t="s">
        <v>193</v>
      </c>
      <c r="D82" s="929"/>
      <c r="E82" s="930"/>
      <c r="F82" s="931"/>
      <c r="G82" s="399"/>
      <c r="I82" s="129"/>
      <c r="K82" s="17"/>
    </row>
    <row r="83" spans="2:11" x14ac:dyDescent="0.3">
      <c r="B83" s="395"/>
      <c r="C83" s="414" t="s">
        <v>192</v>
      </c>
      <c r="D83" s="929"/>
      <c r="E83" s="930"/>
      <c r="F83" s="931"/>
      <c r="G83" s="399"/>
      <c r="I83" s="129"/>
      <c r="K83" s="17"/>
    </row>
    <row r="84" spans="2:11" x14ac:dyDescent="0.3">
      <c r="B84" s="395"/>
      <c r="C84" s="414" t="s">
        <v>191</v>
      </c>
      <c r="D84" s="929"/>
      <c r="E84" s="930"/>
      <c r="F84" s="931"/>
      <c r="G84" s="399"/>
      <c r="I84" s="129"/>
      <c r="K84" s="17"/>
    </row>
    <row r="85" spans="2:11" x14ac:dyDescent="0.3">
      <c r="B85" s="395"/>
      <c r="C85" s="414" t="s">
        <v>308</v>
      </c>
      <c r="D85" s="929"/>
      <c r="E85" s="930"/>
      <c r="F85" s="931"/>
      <c r="G85" s="399"/>
      <c r="I85" s="129"/>
      <c r="K85" s="17"/>
    </row>
    <row r="86" spans="2:11" ht="17.25" thickBot="1" x14ac:dyDescent="0.35">
      <c r="B86" s="395"/>
      <c r="C86" s="415" t="s">
        <v>94</v>
      </c>
      <c r="D86" s="936" t="str">
        <f>IF(D83+D85=0,"",D83+D85)</f>
        <v/>
      </c>
      <c r="E86" s="937"/>
      <c r="F86" s="938"/>
      <c r="G86" s="399"/>
      <c r="I86" s="130"/>
      <c r="K86" s="17"/>
    </row>
    <row r="87" spans="2:11" ht="17.25" thickBot="1" x14ac:dyDescent="0.35">
      <c r="B87" s="416"/>
      <c r="C87" s="405"/>
      <c r="D87" s="405"/>
      <c r="E87" s="405"/>
      <c r="F87" s="405"/>
      <c r="G87" s="406"/>
      <c r="I87" s="130"/>
      <c r="K87" s="17"/>
    </row>
    <row r="88" spans="2:11" ht="17.25" thickBot="1" x14ac:dyDescent="0.35">
      <c r="B88" s="405"/>
      <c r="C88" s="388"/>
      <c r="D88" s="388"/>
      <c r="E88" s="388"/>
      <c r="F88" s="388"/>
      <c r="G88" s="388"/>
      <c r="H88" s="7"/>
      <c r="K88" s="17"/>
    </row>
    <row r="89" spans="2:11" ht="18.75" thickBot="1" x14ac:dyDescent="0.4">
      <c r="B89" s="939" t="s">
        <v>444</v>
      </c>
      <c r="C89" s="940"/>
      <c r="D89" s="940"/>
      <c r="E89" s="940"/>
      <c r="F89" s="940"/>
      <c r="G89" s="941"/>
      <c r="K89" s="17"/>
    </row>
    <row r="90" spans="2:11" ht="18" thickBot="1" x14ac:dyDescent="0.4">
      <c r="B90" s="395"/>
      <c r="C90" s="396"/>
      <c r="D90" s="388"/>
      <c r="E90" s="388"/>
      <c r="F90" s="388"/>
      <c r="G90" s="384"/>
      <c r="K90" s="17"/>
    </row>
    <row r="91" spans="2:11" ht="18" thickBot="1" x14ac:dyDescent="0.4">
      <c r="B91" s="395"/>
      <c r="C91" s="913" t="s">
        <v>55</v>
      </c>
      <c r="D91" s="914"/>
      <c r="E91" s="914"/>
      <c r="F91" s="915"/>
      <c r="G91" s="399"/>
      <c r="K91" s="17"/>
    </row>
    <row r="92" spans="2:11" ht="17.25" x14ac:dyDescent="0.35">
      <c r="B92" s="395"/>
      <c r="C92" s="398"/>
      <c r="D92" s="916" t="s">
        <v>48</v>
      </c>
      <c r="E92" s="916"/>
      <c r="F92" s="917"/>
      <c r="G92" s="399"/>
      <c r="K92" s="17"/>
    </row>
    <row r="93" spans="2:11" ht="17.25" x14ac:dyDescent="0.35">
      <c r="B93" s="400"/>
      <c r="C93" s="395"/>
      <c r="D93" s="409" t="s">
        <v>56</v>
      </c>
      <c r="E93" s="409" t="s">
        <v>57</v>
      </c>
      <c r="F93" s="410" t="s">
        <v>58</v>
      </c>
      <c r="G93" s="399"/>
      <c r="K93" s="17"/>
    </row>
    <row r="94" spans="2:11" x14ac:dyDescent="0.3">
      <c r="B94" s="395"/>
      <c r="C94" s="386" t="s">
        <v>442</v>
      </c>
      <c r="D94" s="403"/>
      <c r="E94" s="403"/>
      <c r="F94" s="390"/>
      <c r="G94" s="399"/>
      <c r="K94" s="17"/>
    </row>
    <row r="95" spans="2:11" x14ac:dyDescent="0.3">
      <c r="B95" s="395"/>
      <c r="C95" s="386" t="s">
        <v>443</v>
      </c>
      <c r="D95" s="403"/>
      <c r="E95" s="403"/>
      <c r="F95" s="390"/>
      <c r="G95" s="399"/>
      <c r="K95" s="17"/>
    </row>
    <row r="96" spans="2:11" x14ac:dyDescent="0.3">
      <c r="B96" s="395"/>
      <c r="C96" s="386" t="s">
        <v>59</v>
      </c>
      <c r="D96" s="403"/>
      <c r="E96" s="403"/>
      <c r="F96" s="390"/>
      <c r="G96" s="399"/>
      <c r="K96" s="17"/>
    </row>
    <row r="97" spans="2:11" x14ac:dyDescent="0.3">
      <c r="B97" s="395"/>
      <c r="C97" s="386" t="s">
        <v>60</v>
      </c>
      <c r="D97" s="403"/>
      <c r="E97" s="403"/>
      <c r="F97" s="390"/>
      <c r="G97" s="399"/>
      <c r="K97" s="17"/>
    </row>
    <row r="98" spans="2:11" x14ac:dyDescent="0.3">
      <c r="B98" s="395"/>
      <c r="C98" s="386" t="s">
        <v>440</v>
      </c>
      <c r="D98" s="403"/>
      <c r="E98" s="388"/>
      <c r="F98" s="399"/>
      <c r="G98" s="399"/>
      <c r="I98" s="128"/>
      <c r="K98" s="17"/>
    </row>
    <row r="99" spans="2:11" ht="17.25" thickBot="1" x14ac:dyDescent="0.35">
      <c r="B99" s="395"/>
      <c r="C99" s="391" t="s">
        <v>453</v>
      </c>
      <c r="D99" s="404"/>
      <c r="E99" s="405"/>
      <c r="F99" s="406"/>
      <c r="G99" s="399"/>
      <c r="K99" s="17"/>
    </row>
    <row r="100" spans="2:11" ht="17.25" thickBot="1" x14ac:dyDescent="0.35">
      <c r="B100" s="395"/>
      <c r="C100" s="407"/>
      <c r="D100" s="388"/>
      <c r="E100" s="388"/>
      <c r="F100" s="388"/>
      <c r="G100" s="399"/>
      <c r="K100" s="17"/>
    </row>
    <row r="101" spans="2:11" ht="18" thickBot="1" x14ac:dyDescent="0.4">
      <c r="B101" s="395"/>
      <c r="C101" s="913" t="s">
        <v>61</v>
      </c>
      <c r="D101" s="914"/>
      <c r="E101" s="914"/>
      <c r="F101" s="915"/>
      <c r="G101" s="399"/>
      <c r="K101" s="17"/>
    </row>
    <row r="102" spans="2:11" ht="17.25" x14ac:dyDescent="0.35">
      <c r="B102" s="395"/>
      <c r="C102" s="398"/>
      <c r="D102" s="916" t="s">
        <v>48</v>
      </c>
      <c r="E102" s="916"/>
      <c r="F102" s="917"/>
      <c r="G102" s="399"/>
      <c r="K102" s="17"/>
    </row>
    <row r="103" spans="2:11" ht="17.25" x14ac:dyDescent="0.35">
      <c r="B103" s="400"/>
      <c r="C103" s="408"/>
      <c r="D103" s="409" t="s">
        <v>56</v>
      </c>
      <c r="E103" s="409" t="s">
        <v>57</v>
      </c>
      <c r="F103" s="410" t="s">
        <v>58</v>
      </c>
      <c r="G103" s="399"/>
      <c r="K103" s="17"/>
    </row>
    <row r="104" spans="2:11" x14ac:dyDescent="0.3">
      <c r="B104" s="395"/>
      <c r="C104" s="386" t="s">
        <v>62</v>
      </c>
      <c r="D104" s="403"/>
      <c r="E104" s="403"/>
      <c r="F104" s="390"/>
      <c r="G104" s="399"/>
      <c r="K104" s="17"/>
    </row>
    <row r="105" spans="2:11" x14ac:dyDescent="0.3">
      <c r="B105" s="395"/>
      <c r="C105" s="386" t="s">
        <v>63</v>
      </c>
      <c r="D105" s="403"/>
      <c r="E105" s="403"/>
      <c r="F105" s="403"/>
      <c r="G105" s="399"/>
      <c r="K105" s="17"/>
    </row>
    <row r="106" spans="2:11" x14ac:dyDescent="0.3">
      <c r="B106" s="395"/>
      <c r="C106" s="386" t="s">
        <v>64</v>
      </c>
      <c r="D106" s="403"/>
      <c r="E106" s="403"/>
      <c r="F106" s="403"/>
      <c r="G106" s="399"/>
      <c r="K106" s="17"/>
    </row>
    <row r="107" spans="2:11" x14ac:dyDescent="0.3">
      <c r="B107" s="395"/>
      <c r="C107" s="386" t="s">
        <v>422</v>
      </c>
      <c r="D107" s="403"/>
      <c r="E107" s="403"/>
      <c r="F107" s="390"/>
      <c r="G107" s="399"/>
      <c r="K107" s="17"/>
    </row>
    <row r="108" spans="2:11" ht="17.25" thickBot="1" x14ac:dyDescent="0.35">
      <c r="B108" s="395"/>
      <c r="C108" s="391" t="s">
        <v>437</v>
      </c>
      <c r="D108" s="404"/>
      <c r="E108" s="404"/>
      <c r="F108" s="392"/>
      <c r="G108" s="399"/>
      <c r="K108" s="17"/>
    </row>
    <row r="109" spans="2:11" ht="17.25" thickBot="1" x14ac:dyDescent="0.35">
      <c r="B109" s="395"/>
      <c r="C109" s="388"/>
      <c r="D109" s="388"/>
      <c r="E109" s="388"/>
      <c r="F109" s="388"/>
      <c r="G109" s="399"/>
      <c r="K109" s="17"/>
    </row>
    <row r="110" spans="2:11" ht="18" thickBot="1" x14ac:dyDescent="0.4">
      <c r="B110" s="395"/>
      <c r="C110" s="913" t="s">
        <v>65</v>
      </c>
      <c r="D110" s="914"/>
      <c r="E110" s="914"/>
      <c r="F110" s="915"/>
      <c r="G110" s="399"/>
      <c r="K110" s="17"/>
    </row>
    <row r="111" spans="2:11" ht="17.25" x14ac:dyDescent="0.35">
      <c r="B111" s="395"/>
      <c r="C111" s="398"/>
      <c r="D111" s="916" t="s">
        <v>48</v>
      </c>
      <c r="E111" s="916"/>
      <c r="F111" s="917"/>
      <c r="G111" s="399"/>
      <c r="K111" s="17"/>
    </row>
    <row r="112" spans="2:11" ht="17.25" x14ac:dyDescent="0.35">
      <c r="B112" s="400"/>
      <c r="C112" s="395"/>
      <c r="D112" s="409" t="s">
        <v>56</v>
      </c>
      <c r="E112" s="409" t="s">
        <v>57</v>
      </c>
      <c r="F112" s="410" t="s">
        <v>58</v>
      </c>
      <c r="G112" s="399"/>
      <c r="K112" s="17"/>
    </row>
    <row r="113" spans="2:11" x14ac:dyDescent="0.3">
      <c r="B113" s="395"/>
      <c r="C113" s="411" t="s">
        <v>66</v>
      </c>
      <c r="D113" s="403"/>
      <c r="E113" s="403"/>
      <c r="F113" s="390"/>
      <c r="G113" s="399"/>
      <c r="K113" s="17"/>
    </row>
    <row r="114" spans="2:11" x14ac:dyDescent="0.3">
      <c r="B114" s="395"/>
      <c r="C114" s="411" t="s">
        <v>67</v>
      </c>
      <c r="D114" s="403"/>
      <c r="E114" s="403"/>
      <c r="F114" s="390"/>
      <c r="G114" s="399"/>
      <c r="K114" s="17"/>
    </row>
    <row r="115" spans="2:11" x14ac:dyDescent="0.3">
      <c r="B115" s="395"/>
      <c r="C115" s="411" t="s">
        <v>68</v>
      </c>
      <c r="D115" s="403"/>
      <c r="E115" s="403"/>
      <c r="F115" s="390"/>
      <c r="G115" s="399"/>
      <c r="K115" s="17"/>
    </row>
    <row r="116" spans="2:11" x14ac:dyDescent="0.3">
      <c r="B116" s="395"/>
      <c r="C116" s="411" t="s">
        <v>69</v>
      </c>
      <c r="D116" s="403"/>
      <c r="E116" s="403"/>
      <c r="F116" s="390"/>
      <c r="G116" s="399"/>
      <c r="K116" s="17"/>
    </row>
    <row r="117" spans="2:11" x14ac:dyDescent="0.3">
      <c r="B117" s="395"/>
      <c r="C117" s="411" t="s">
        <v>70</v>
      </c>
      <c r="D117" s="403"/>
      <c r="E117" s="403"/>
      <c r="F117" s="390"/>
      <c r="G117" s="399"/>
      <c r="K117" s="17"/>
    </row>
    <row r="118" spans="2:11" x14ac:dyDescent="0.3">
      <c r="B118" s="395"/>
      <c r="C118" s="411" t="s">
        <v>71</v>
      </c>
      <c r="D118" s="403"/>
      <c r="E118" s="403"/>
      <c r="F118" s="390"/>
      <c r="G118" s="399"/>
      <c r="K118" s="17"/>
    </row>
    <row r="119" spans="2:11" x14ac:dyDescent="0.3">
      <c r="B119" s="395"/>
      <c r="C119" s="411" t="s">
        <v>72</v>
      </c>
      <c r="D119" s="403"/>
      <c r="E119" s="403"/>
      <c r="F119" s="390"/>
      <c r="G119" s="399"/>
      <c r="K119" s="17"/>
    </row>
    <row r="120" spans="2:11" x14ac:dyDescent="0.3">
      <c r="B120" s="395"/>
      <c r="C120" s="411" t="s">
        <v>73</v>
      </c>
      <c r="D120" s="403"/>
      <c r="E120" s="403"/>
      <c r="F120" s="390"/>
      <c r="G120" s="399"/>
      <c r="K120" s="17"/>
    </row>
    <row r="121" spans="2:11" x14ac:dyDescent="0.3">
      <c r="B121" s="395"/>
      <c r="C121" s="411" t="s">
        <v>74</v>
      </c>
      <c r="D121" s="403"/>
      <c r="E121" s="403"/>
      <c r="F121" s="390"/>
      <c r="G121" s="399"/>
      <c r="K121" s="17"/>
    </row>
    <row r="122" spans="2:11" x14ac:dyDescent="0.3">
      <c r="B122" s="395"/>
      <c r="C122" s="411" t="s">
        <v>75</v>
      </c>
      <c r="D122" s="403"/>
      <c r="E122" s="403"/>
      <c r="F122" s="390"/>
      <c r="G122" s="399"/>
      <c r="K122" s="17"/>
    </row>
    <row r="123" spans="2:11" ht="17.25" thickBot="1" x14ac:dyDescent="0.35">
      <c r="B123" s="395"/>
      <c r="C123" s="412" t="s">
        <v>76</v>
      </c>
      <c r="D123" s="404"/>
      <c r="E123" s="404"/>
      <c r="F123" s="392"/>
      <c r="G123" s="399"/>
      <c r="K123" s="17"/>
    </row>
    <row r="124" spans="2:11" ht="17.25" thickBot="1" x14ac:dyDescent="0.35">
      <c r="B124" s="395"/>
      <c r="C124" s="388"/>
      <c r="D124" s="388"/>
      <c r="E124" s="388"/>
      <c r="F124" s="399"/>
      <c r="G124" s="399"/>
      <c r="K124" s="17"/>
    </row>
    <row r="125" spans="2:11" ht="18" thickBot="1" x14ac:dyDescent="0.4">
      <c r="B125" s="395"/>
      <c r="C125" s="913" t="s">
        <v>77</v>
      </c>
      <c r="D125" s="914"/>
      <c r="E125" s="914"/>
      <c r="F125" s="915"/>
      <c r="G125" s="399"/>
      <c r="K125" s="17"/>
    </row>
    <row r="126" spans="2:11" ht="17.25" x14ac:dyDescent="0.35">
      <c r="B126" s="395"/>
      <c r="C126" s="398"/>
      <c r="D126" s="916" t="s">
        <v>48</v>
      </c>
      <c r="E126" s="916"/>
      <c r="F126" s="917"/>
      <c r="G126" s="399"/>
      <c r="K126" s="17"/>
    </row>
    <row r="127" spans="2:11" ht="17.25" x14ac:dyDescent="0.35">
      <c r="B127" s="400"/>
      <c r="C127" s="395"/>
      <c r="D127" s="409" t="s">
        <v>56</v>
      </c>
      <c r="E127" s="409" t="s">
        <v>57</v>
      </c>
      <c r="F127" s="410" t="s">
        <v>58</v>
      </c>
      <c r="G127" s="399"/>
      <c r="K127" s="17"/>
    </row>
    <row r="128" spans="2:11" x14ac:dyDescent="0.3">
      <c r="B128" s="395"/>
      <c r="C128" s="411" t="s">
        <v>78</v>
      </c>
      <c r="D128" s="403"/>
      <c r="E128" s="403"/>
      <c r="F128" s="390"/>
      <c r="G128" s="399"/>
      <c r="K128" s="17"/>
    </row>
    <row r="129" spans="2:11" x14ac:dyDescent="0.3">
      <c r="B129" s="395"/>
      <c r="C129" s="411" t="s">
        <v>79</v>
      </c>
      <c r="D129" s="403"/>
      <c r="E129" s="403"/>
      <c r="F129" s="390"/>
      <c r="G129" s="399"/>
      <c r="K129" s="17"/>
    </row>
    <row r="130" spans="2:11" x14ac:dyDescent="0.3">
      <c r="B130" s="395"/>
      <c r="C130" s="411" t="s">
        <v>80</v>
      </c>
      <c r="D130" s="403"/>
      <c r="E130" s="403"/>
      <c r="F130" s="390"/>
      <c r="G130" s="399"/>
      <c r="K130" s="17"/>
    </row>
    <row r="131" spans="2:11" x14ac:dyDescent="0.3">
      <c r="B131" s="395"/>
      <c r="C131" s="411" t="s">
        <v>81</v>
      </c>
      <c r="D131" s="403"/>
      <c r="E131" s="403"/>
      <c r="F131" s="390"/>
      <c r="G131" s="399"/>
      <c r="K131" s="17"/>
    </row>
    <row r="132" spans="2:11" ht="17.25" thickBot="1" x14ac:dyDescent="0.35">
      <c r="B132" s="395"/>
      <c r="C132" s="412" t="s">
        <v>438</v>
      </c>
      <c r="D132" s="404"/>
      <c r="E132" s="404"/>
      <c r="F132" s="392"/>
      <c r="G132" s="399"/>
      <c r="K132" s="17"/>
    </row>
    <row r="133" spans="2:11" ht="17.25" thickBot="1" x14ac:dyDescent="0.35">
      <c r="B133" s="395"/>
      <c r="C133" s="388"/>
      <c r="D133" s="388"/>
      <c r="E133" s="388"/>
      <c r="F133" s="388"/>
      <c r="G133" s="399"/>
      <c r="K133" s="17"/>
    </row>
    <row r="134" spans="2:11" ht="18" thickBot="1" x14ac:dyDescent="0.4">
      <c r="B134" s="395"/>
      <c r="C134" s="913" t="s">
        <v>82</v>
      </c>
      <c r="D134" s="914"/>
      <c r="E134" s="914"/>
      <c r="F134" s="915"/>
      <c r="G134" s="399"/>
      <c r="K134" s="17"/>
    </row>
    <row r="135" spans="2:11" ht="17.25" x14ac:dyDescent="0.35">
      <c r="B135" s="395"/>
      <c r="C135" s="398"/>
      <c r="D135" s="916" t="s">
        <v>48</v>
      </c>
      <c r="E135" s="916"/>
      <c r="F135" s="917"/>
      <c r="G135" s="399"/>
      <c r="K135" s="17"/>
    </row>
    <row r="136" spans="2:11" ht="17.25" x14ac:dyDescent="0.35">
      <c r="B136" s="413"/>
      <c r="C136" s="395"/>
      <c r="D136" s="409" t="s">
        <v>56</v>
      </c>
      <c r="E136" s="409" t="s">
        <v>57</v>
      </c>
      <c r="F136" s="410" t="s">
        <v>58</v>
      </c>
      <c r="G136" s="399"/>
      <c r="K136" s="17"/>
    </row>
    <row r="137" spans="2:11" x14ac:dyDescent="0.3">
      <c r="B137" s="395"/>
      <c r="C137" s="414" t="s">
        <v>83</v>
      </c>
      <c r="D137" s="403"/>
      <c r="E137" s="403"/>
      <c r="F137" s="390"/>
      <c r="G137" s="399"/>
      <c r="K137" s="17"/>
    </row>
    <row r="138" spans="2:11" x14ac:dyDescent="0.3">
      <c r="B138" s="395"/>
      <c r="C138" s="414" t="s">
        <v>84</v>
      </c>
      <c r="D138" s="403"/>
      <c r="E138" s="403"/>
      <c r="F138" s="390"/>
      <c r="G138" s="399"/>
      <c r="K138" s="17"/>
    </row>
    <row r="139" spans="2:11" x14ac:dyDescent="0.3">
      <c r="B139" s="395"/>
      <c r="C139" s="414" t="s">
        <v>85</v>
      </c>
      <c r="D139" s="403"/>
      <c r="E139" s="403"/>
      <c r="F139" s="390"/>
      <c r="G139" s="399"/>
      <c r="K139" s="17"/>
    </row>
    <row r="140" spans="2:11" x14ac:dyDescent="0.3">
      <c r="B140" s="395"/>
      <c r="C140" s="414" t="s">
        <v>86</v>
      </c>
      <c r="D140" s="403"/>
      <c r="E140" s="403"/>
      <c r="F140" s="390"/>
      <c r="G140" s="399"/>
      <c r="K140" s="17"/>
    </row>
    <row r="141" spans="2:11" x14ac:dyDescent="0.3">
      <c r="B141" s="395"/>
      <c r="C141" s="414" t="s">
        <v>87</v>
      </c>
      <c r="D141" s="403"/>
      <c r="E141" s="403"/>
      <c r="F141" s="390"/>
      <c r="G141" s="399"/>
      <c r="K141" s="17"/>
    </row>
    <row r="142" spans="2:11" x14ac:dyDescent="0.3">
      <c r="B142" s="395"/>
      <c r="C142" s="414" t="s">
        <v>88</v>
      </c>
      <c r="D142" s="403"/>
      <c r="E142" s="403"/>
      <c r="F142" s="390"/>
      <c r="G142" s="399"/>
      <c r="K142" s="17"/>
    </row>
    <row r="143" spans="2:11" x14ac:dyDescent="0.3">
      <c r="B143" s="395"/>
      <c r="C143" s="414" t="s">
        <v>89</v>
      </c>
      <c r="D143" s="403"/>
      <c r="E143" s="403"/>
      <c r="F143" s="390"/>
      <c r="G143" s="399"/>
      <c r="K143" s="17"/>
    </row>
    <row r="144" spans="2:11" ht="17.25" thickBot="1" x14ac:dyDescent="0.35">
      <c r="B144" s="395"/>
      <c r="C144" s="415" t="s">
        <v>90</v>
      </c>
      <c r="D144" s="404"/>
      <c r="E144" s="404"/>
      <c r="F144" s="392"/>
      <c r="G144" s="399"/>
      <c r="K144" s="17"/>
    </row>
    <row r="145" spans="1:11" ht="17.25" thickBot="1" x14ac:dyDescent="0.35">
      <c r="B145" s="395"/>
      <c r="C145" s="388"/>
      <c r="D145" s="388"/>
      <c r="E145" s="388"/>
      <c r="F145" s="417"/>
      <c r="G145" s="399"/>
      <c r="K145" s="17"/>
    </row>
    <row r="146" spans="1:11" ht="18" thickBot="1" x14ac:dyDescent="0.4">
      <c r="B146" s="395"/>
      <c r="C146" s="913" t="s">
        <v>196</v>
      </c>
      <c r="D146" s="914"/>
      <c r="E146" s="914"/>
      <c r="F146" s="915"/>
      <c r="G146" s="399"/>
      <c r="K146" s="17"/>
    </row>
    <row r="147" spans="1:11" ht="17.25" x14ac:dyDescent="0.35">
      <c r="A147" s="5" t="s">
        <v>446</v>
      </c>
      <c r="B147" s="400"/>
      <c r="C147" s="398"/>
      <c r="D147" s="916" t="s">
        <v>48</v>
      </c>
      <c r="E147" s="916"/>
      <c r="F147" s="917"/>
      <c r="G147" s="399"/>
      <c r="K147" s="17"/>
    </row>
    <row r="148" spans="1:11" x14ac:dyDescent="0.3">
      <c r="B148" s="395"/>
      <c r="C148" s="414" t="s">
        <v>195</v>
      </c>
      <c r="D148" s="921"/>
      <c r="E148" s="921"/>
      <c r="F148" s="922"/>
      <c r="G148" s="399"/>
      <c r="K148" s="17"/>
    </row>
    <row r="149" spans="1:11" x14ac:dyDescent="0.3">
      <c r="B149" s="395"/>
      <c r="C149" s="414" t="s">
        <v>194</v>
      </c>
      <c r="D149" s="921"/>
      <c r="E149" s="921"/>
      <c r="F149" s="922"/>
      <c r="G149" s="399"/>
      <c r="K149" s="17"/>
    </row>
    <row r="150" spans="1:11" x14ac:dyDescent="0.3">
      <c r="B150" s="395"/>
      <c r="C150" s="414" t="s">
        <v>308</v>
      </c>
      <c r="D150" s="921"/>
      <c r="E150" s="921"/>
      <c r="F150" s="922"/>
      <c r="G150" s="399"/>
      <c r="K150" s="17"/>
    </row>
    <row r="151" spans="1:11" x14ac:dyDescent="0.3">
      <c r="B151" s="395"/>
      <c r="C151" s="414" t="s">
        <v>94</v>
      </c>
      <c r="D151" s="932" t="str">
        <f>IF(D148+D150=0,"",D148+D150)</f>
        <v/>
      </c>
      <c r="E151" s="932"/>
      <c r="F151" s="933"/>
      <c r="G151" s="399"/>
      <c r="K151" s="17"/>
    </row>
    <row r="152" spans="1:11" x14ac:dyDescent="0.3">
      <c r="B152" s="395"/>
      <c r="C152" s="414" t="s">
        <v>193</v>
      </c>
      <c r="D152" s="921"/>
      <c r="E152" s="921"/>
      <c r="F152" s="922"/>
      <c r="G152" s="399"/>
      <c r="K152" s="17"/>
    </row>
    <row r="153" spans="1:11" x14ac:dyDescent="0.3">
      <c r="B153" s="395"/>
      <c r="C153" s="414" t="s">
        <v>192</v>
      </c>
      <c r="D153" s="921"/>
      <c r="E153" s="921"/>
      <c r="F153" s="922"/>
      <c r="G153" s="399"/>
      <c r="K153" s="17"/>
    </row>
    <row r="154" spans="1:11" x14ac:dyDescent="0.3">
      <c r="B154" s="395"/>
      <c r="C154" s="414" t="s">
        <v>191</v>
      </c>
      <c r="D154" s="921"/>
      <c r="E154" s="921"/>
      <c r="F154" s="922"/>
      <c r="G154" s="399"/>
      <c r="K154" s="17"/>
    </row>
    <row r="155" spans="1:11" x14ac:dyDescent="0.3">
      <c r="B155" s="395"/>
      <c r="C155" s="414" t="s">
        <v>308</v>
      </c>
      <c r="D155" s="921"/>
      <c r="E155" s="921"/>
      <c r="F155" s="922"/>
      <c r="G155" s="399"/>
      <c r="K155" s="17"/>
    </row>
    <row r="156" spans="1:11" ht="17.25" thickBot="1" x14ac:dyDescent="0.35">
      <c r="B156" s="395"/>
      <c r="C156" s="415" t="s">
        <v>94</v>
      </c>
      <c r="D156" s="934" t="str">
        <f>IF(D153+D155=0,"",D153+D155)</f>
        <v/>
      </c>
      <c r="E156" s="934"/>
      <c r="F156" s="935"/>
      <c r="G156" s="399"/>
      <c r="K156" s="17"/>
    </row>
    <row r="157" spans="1:11" ht="17.25" thickBot="1" x14ac:dyDescent="0.35">
      <c r="B157" s="416"/>
      <c r="C157" s="405"/>
      <c r="D157" s="405"/>
      <c r="E157" s="405"/>
      <c r="F157" s="405"/>
      <c r="G157" s="406"/>
      <c r="K157" s="17"/>
    </row>
    <row r="158" spans="1:11" ht="17.25" thickBot="1" x14ac:dyDescent="0.35">
      <c r="B158" s="388"/>
      <c r="C158" s="388"/>
      <c r="D158" s="388"/>
      <c r="E158" s="388"/>
      <c r="F158" s="388"/>
      <c r="G158" s="388"/>
      <c r="K158" s="17"/>
    </row>
    <row r="159" spans="1:11" ht="18" thickBot="1" x14ac:dyDescent="0.4">
      <c r="B159" s="388"/>
      <c r="C159" s="913" t="s">
        <v>627</v>
      </c>
      <c r="D159" s="914"/>
      <c r="E159" s="914"/>
      <c r="F159" s="915"/>
      <c r="G159" s="388"/>
      <c r="K159" s="17"/>
    </row>
    <row r="160" spans="1:11" ht="17.25" x14ac:dyDescent="0.35">
      <c r="B160" s="388"/>
      <c r="C160" s="398"/>
      <c r="D160" s="916"/>
      <c r="E160" s="916"/>
      <c r="F160" s="917"/>
      <c r="G160" s="388"/>
      <c r="K160" s="17"/>
    </row>
    <row r="161" spans="1:11" ht="55.5" customHeight="1" x14ac:dyDescent="0.3">
      <c r="B161" s="388"/>
      <c r="C161" s="745" t="s">
        <v>628</v>
      </c>
      <c r="D161" s="741" t="s">
        <v>625</v>
      </c>
      <c r="E161" s="918" t="s">
        <v>639</v>
      </c>
      <c r="F161" s="919"/>
      <c r="G161" s="388"/>
      <c r="K161" s="17"/>
    </row>
    <row r="162" spans="1:11" x14ac:dyDescent="0.3">
      <c r="B162" s="388"/>
      <c r="C162" s="746" t="s">
        <v>629</v>
      </c>
      <c r="D162" s="564" t="str">
        <f>IF(AND('General Info and Test Results'!C25="Single-Speed",'General Info and Test Results'!C26="Fixed Speed"),'A Test Recorded Data'!D81/'A Test Recorded Data'!D29,"")</f>
        <v/>
      </c>
      <c r="E162" s="909"/>
      <c r="F162" s="910"/>
      <c r="G162" s="388"/>
      <c r="K162" s="17"/>
    </row>
    <row r="163" spans="1:11" x14ac:dyDescent="0.3">
      <c r="B163" s="388"/>
      <c r="C163" s="746" t="s">
        <v>630</v>
      </c>
      <c r="D163" s="564" t="str">
        <f>IF(AND('General Info and Test Results'!C25="Single-Speed",'General Info and Test Results'!C26="Variable Speed"),'A Test Recorded Data'!D151/'A Test Recorded Data'!D99,"")</f>
        <v/>
      </c>
      <c r="E163" s="909"/>
      <c r="F163" s="910"/>
      <c r="G163" s="388"/>
      <c r="K163" s="17"/>
    </row>
    <row r="164" spans="1:11" x14ac:dyDescent="0.3">
      <c r="B164" s="388"/>
      <c r="C164" s="414" t="s">
        <v>631</v>
      </c>
      <c r="D164" s="564" t="str">
        <f>IF('General Info and Test Results'!C25="Two-Speed",'A Test Recorded Data'!D151/'A Test Recorded Data'!D99,"")</f>
        <v/>
      </c>
      <c r="E164" s="909"/>
      <c r="F164" s="910"/>
      <c r="G164" s="388"/>
      <c r="K164" s="17"/>
    </row>
    <row r="165" spans="1:11" ht="17.25" thickBot="1" x14ac:dyDescent="0.35">
      <c r="B165" s="388"/>
      <c r="C165" s="415" t="s">
        <v>632</v>
      </c>
      <c r="D165" s="577" t="str">
        <f>IF('General Info and Test Results'!C25 = "Variable-Speed", 'A Test Recorded Data'!D151/'A Test Recorded Data'!D99,"")</f>
        <v/>
      </c>
      <c r="E165" s="911"/>
      <c r="F165" s="912"/>
      <c r="G165" s="388"/>
      <c r="K165" s="17"/>
    </row>
    <row r="166" spans="1:11" x14ac:dyDescent="0.3">
      <c r="B166" s="388"/>
      <c r="C166" s="388"/>
      <c r="D166" s="388"/>
      <c r="E166" s="388"/>
      <c r="F166" s="388"/>
      <c r="G166" s="388"/>
      <c r="K166" s="17"/>
    </row>
    <row r="167" spans="1:11" s="16" customFormat="1" x14ac:dyDescent="0.3">
      <c r="A167" s="17"/>
      <c r="B167" s="17"/>
      <c r="C167" s="17"/>
      <c r="D167" s="17"/>
      <c r="E167" s="17"/>
      <c r="F167" s="17"/>
      <c r="G167" s="17"/>
      <c r="H167" s="17"/>
      <c r="I167" s="17"/>
      <c r="J167" s="17"/>
      <c r="K167"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topLeftCell="A61">
      <selection activeCell="I82" sqref="I82"/>
      <pageMargins left="0.7" right="0.7" top="0.75" bottom="0.75" header="0.3" footer="0.3"/>
      <pageSetup orientation="portrait" horizontalDpi="200" verticalDpi="200" r:id="rId2"/>
    </customSheetView>
  </customSheetViews>
  <mergeCells count="56">
    <mergeCell ref="H4:I4"/>
    <mergeCell ref="B2:C2"/>
    <mergeCell ref="C11:D11"/>
    <mergeCell ref="E2:F2"/>
    <mergeCell ref="C146:F146"/>
    <mergeCell ref="C134:F134"/>
    <mergeCell ref="C125:F125"/>
    <mergeCell ref="C110:F110"/>
    <mergeCell ref="C101:F101"/>
    <mergeCell ref="C91:F91"/>
    <mergeCell ref="C76:F76"/>
    <mergeCell ref="C64:F64"/>
    <mergeCell ref="C55:F55"/>
    <mergeCell ref="C40:F40"/>
    <mergeCell ref="C31:F31"/>
    <mergeCell ref="C21:F21"/>
    <mergeCell ref="D156:F156"/>
    <mergeCell ref="D83:F83"/>
    <mergeCell ref="D84:F84"/>
    <mergeCell ref="D85:F85"/>
    <mergeCell ref="D86:F86"/>
    <mergeCell ref="B89:G89"/>
    <mergeCell ref="D148:F148"/>
    <mergeCell ref="D149:F149"/>
    <mergeCell ref="D92:F92"/>
    <mergeCell ref="D102:F102"/>
    <mergeCell ref="D111:F111"/>
    <mergeCell ref="D126:F126"/>
    <mergeCell ref="D41:F41"/>
    <mergeCell ref="D56:F56"/>
    <mergeCell ref="D147:F147"/>
    <mergeCell ref="D151:F151"/>
    <mergeCell ref="D150:F150"/>
    <mergeCell ref="F14:G14"/>
    <mergeCell ref="D65:F65"/>
    <mergeCell ref="D154:F154"/>
    <mergeCell ref="D153:F153"/>
    <mergeCell ref="D155:F155"/>
    <mergeCell ref="D81:F81"/>
    <mergeCell ref="B19:G19"/>
    <mergeCell ref="D78:F78"/>
    <mergeCell ref="D79:F79"/>
    <mergeCell ref="D80:F80"/>
    <mergeCell ref="D135:F135"/>
    <mergeCell ref="D77:F77"/>
    <mergeCell ref="D82:F82"/>
    <mergeCell ref="D152:F152"/>
    <mergeCell ref="D22:F22"/>
    <mergeCell ref="D32:F32"/>
    <mergeCell ref="E164:F164"/>
    <mergeCell ref="E165:F165"/>
    <mergeCell ref="C159:F159"/>
    <mergeCell ref="D160:F160"/>
    <mergeCell ref="E161:F161"/>
    <mergeCell ref="E162:F162"/>
    <mergeCell ref="E163:F163"/>
  </mergeCells>
  <phoneticPr fontId="26" type="noConversion"/>
  <conditionalFormatting sqref="D78:D81 D83:D86 D82:F82 D34:F38 D43:F53 D58:F62 D67:F74 D28:D29 D24:F27">
    <cfRule type="expression" dxfId="76" priority="3" stopIfTrue="1">
      <formula>OR($I$5 = "Heating Only Central Heat Pump", $I$6 &lt;&gt; "Single-Speed")</formula>
    </cfRule>
  </conditionalFormatting>
  <conditionalFormatting sqref="D13:D14">
    <cfRule type="expression" dxfId="75" priority="19" stopIfTrue="1">
      <formula>$I$5="Heating Only Central Heat Pump"</formula>
    </cfRule>
  </conditionalFormatting>
  <conditionalFormatting sqref="D113:F123 D104:F108 D128:F132 D137:F144 D148:D151 D152:F152 D153:D156 E94:F97 D94:D99">
    <cfRule type="expression" dxfId="74" priority="20" stopIfTrue="1">
      <formula>OR($I$5 = "Heating Only Central Heat Pump",AND($I$6 = "Single-Speed",$I$7 = "Fixed Speed"))</formula>
    </cfRule>
  </conditionalFormatting>
  <conditionalFormatting sqref="D15">
    <cfRule type="expression" dxfId="73" priority="21" stopIfTrue="1">
      <formula>OR($D$14="No",$I$5="Heating Only Central Heat Pump")</formula>
    </cfRule>
  </conditionalFormatting>
  <conditionalFormatting sqref="D17">
    <cfRule type="expression" dxfId="72" priority="2" stopIfTrue="1">
      <formula>OR($D$14="No",$I$5="Heating Only Central Heat Pump")</formula>
    </cfRule>
  </conditionalFormatting>
  <conditionalFormatting sqref="D16">
    <cfRule type="expression" dxfId="71" priority="1" stopIfTrue="1">
      <formula>OR($D$14="No",$I$5="Heating Only Central Heat Pump")</formula>
    </cfRule>
  </conditionalFormatting>
  <dataValidations count="1">
    <dataValidation type="list" showInputMessage="1" showErrorMessage="1" sqref="D13" xr:uid="{00000000-0002-0000-0600-000000000000}">
      <formula1>Yes_No</formula1>
    </dataValidation>
  </dataValidations>
  <hyperlinks>
    <hyperlink ref="E2" location="Instructions!A1" display="Back to Instructions" xr:uid="{00000000-0004-0000-0600-000000000000}"/>
    <hyperlink ref="E2:F2" location="Instructions!A1" display="Back to Instructions tab" xr:uid="{00000000-0004-0000-0600-000001000000}"/>
  </hyperlinks>
  <pageMargins left="0.7" right="0.7" top="0.75" bottom="0.75" header="0.3" footer="0.3"/>
  <pageSetup orientation="landscape" horizontalDpi="200" verticalDpi="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70C0"/>
  </sheetPr>
  <dimension ref="A1:K158"/>
  <sheetViews>
    <sheetView showGridLines="0" showZeros="0" zoomScale="80" zoomScaleNormal="80" workbookViewId="0">
      <selection activeCell="E2" sqref="E2:F2"/>
    </sheetView>
  </sheetViews>
  <sheetFormatPr defaultColWidth="9.140625" defaultRowHeight="16.5" x14ac:dyDescent="0.3"/>
  <cols>
    <col min="1" max="1" width="3.5703125" style="5" customWidth="1"/>
    <col min="2" max="2" width="31.140625" style="5" customWidth="1"/>
    <col min="3" max="3" width="70.140625" style="5" customWidth="1"/>
    <col min="4" max="6" width="12.28515625" style="5" customWidth="1"/>
    <col min="7" max="7" width="8.42578125" style="5" customWidth="1"/>
    <col min="8" max="8" width="22.5703125" style="5" customWidth="1"/>
    <col min="9" max="9" width="16.28515625" style="5" customWidth="1"/>
    <col min="10" max="10" width="6.28515625" style="110" customWidth="1"/>
    <col min="11" max="11" width="4.7109375" style="5" customWidth="1"/>
    <col min="12" max="16384" width="9.140625" style="5"/>
  </cols>
  <sheetData>
    <row r="1" spans="1:11" ht="17.25" thickBot="1" x14ac:dyDescent="0.35">
      <c r="J1" s="123"/>
      <c r="K1" s="17"/>
    </row>
    <row r="2" spans="1:11" s="1" customFormat="1" ht="18.75" thickBot="1" x14ac:dyDescent="0.4">
      <c r="B2" s="805" t="s">
        <v>622</v>
      </c>
      <c r="C2" s="806"/>
      <c r="E2" s="840" t="s">
        <v>553</v>
      </c>
      <c r="F2" s="840"/>
      <c r="G2" s="332"/>
      <c r="J2" s="124"/>
      <c r="K2" s="125"/>
    </row>
    <row r="3" spans="1:11" s="1" customFormat="1" ht="17.25" customHeight="1" thickBot="1" x14ac:dyDescent="0.35">
      <c r="B3" s="365" t="s">
        <v>623</v>
      </c>
      <c r="C3" s="366" t="str">
        <f>'Version Control'!C3</f>
        <v>Commercial Air Conditioner and Heat Pump</v>
      </c>
      <c r="J3" s="124"/>
      <c r="K3" s="125"/>
    </row>
    <row r="4" spans="1:11" s="1" customFormat="1" ht="18" thickBot="1" x14ac:dyDescent="0.35">
      <c r="B4" s="367" t="s">
        <v>142</v>
      </c>
      <c r="C4" s="368" t="str">
        <f>'Version Control'!C4</f>
        <v>v2.2</v>
      </c>
      <c r="H4" s="802" t="s">
        <v>351</v>
      </c>
      <c r="I4" s="804"/>
      <c r="J4" s="124"/>
      <c r="K4" s="125"/>
    </row>
    <row r="5" spans="1:11" s="1" customFormat="1" x14ac:dyDescent="0.3">
      <c r="B5" s="367" t="s">
        <v>475</v>
      </c>
      <c r="C5" s="369">
        <f>'Version Control'!C5</f>
        <v>43353</v>
      </c>
      <c r="H5" s="51" t="s">
        <v>160</v>
      </c>
      <c r="I5" s="337">
        <f>'General Info and Test Results'!C24</f>
        <v>0</v>
      </c>
      <c r="J5" s="124"/>
      <c r="K5" s="125"/>
    </row>
    <row r="6" spans="1:11" s="1" customFormat="1" x14ac:dyDescent="0.3">
      <c r="B6" s="370" t="s">
        <v>141</v>
      </c>
      <c r="C6" s="371" t="str">
        <f ca="1">MID(CELL("filename",$A$1), FIND("]", CELL("filename", $A$1))+ 1, 255)</f>
        <v>B Test Recorded Data</v>
      </c>
      <c r="H6" s="52" t="s">
        <v>155</v>
      </c>
      <c r="I6" s="338">
        <f>'General Info and Test Results'!C25</f>
        <v>0</v>
      </c>
      <c r="J6" s="124"/>
      <c r="K6" s="125"/>
    </row>
    <row r="7" spans="1: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1:11" s="1" customFormat="1" ht="17.25" thickBot="1" x14ac:dyDescent="0.35">
      <c r="B8" s="372" t="s">
        <v>143</v>
      </c>
      <c r="C8" s="373" t="str">
        <f>'Version Control'!C8</f>
        <v>[MM/DD/YYYY]</v>
      </c>
      <c r="G8" s="12"/>
      <c r="H8" s="8"/>
      <c r="J8" s="124"/>
      <c r="K8" s="125"/>
    </row>
    <row r="9" spans="1:11" s="1" customFormat="1" x14ac:dyDescent="0.3">
      <c r="B9" s="4"/>
      <c r="C9" s="232"/>
      <c r="G9" s="12"/>
      <c r="H9" s="8"/>
      <c r="J9" s="124"/>
      <c r="K9" s="125"/>
    </row>
    <row r="10" spans="1:11" ht="17.25" thickBot="1" x14ac:dyDescent="0.35">
      <c r="E10" s="110"/>
      <c r="K10" s="17"/>
    </row>
    <row r="11" spans="1:11" ht="18.75" thickBot="1" x14ac:dyDescent="0.4">
      <c r="B11" s="380"/>
      <c r="C11" s="939" t="s">
        <v>418</v>
      </c>
      <c r="D11" s="941"/>
      <c r="E11" s="418"/>
      <c r="F11" s="380"/>
      <c r="G11" s="380"/>
      <c r="K11" s="17"/>
    </row>
    <row r="12" spans="1:11" ht="17.25" x14ac:dyDescent="0.35">
      <c r="B12" s="380"/>
      <c r="C12" s="400" t="s">
        <v>52</v>
      </c>
      <c r="D12" s="399"/>
      <c r="E12" s="395"/>
      <c r="F12" s="380"/>
      <c r="G12" s="380"/>
      <c r="H12" s="7"/>
      <c r="K12" s="17"/>
    </row>
    <row r="13" spans="1:11" ht="17.25" x14ac:dyDescent="0.35">
      <c r="B13" s="419"/>
      <c r="C13" s="386" t="s">
        <v>53</v>
      </c>
      <c r="D13" s="387"/>
      <c r="E13" s="395"/>
      <c r="F13" s="380"/>
      <c r="G13" s="380"/>
      <c r="H13" s="12"/>
      <c r="K13" s="17"/>
    </row>
    <row r="14" spans="1:11" x14ac:dyDescent="0.3">
      <c r="A14" s="7"/>
      <c r="B14" s="388"/>
      <c r="C14" s="386" t="s">
        <v>129</v>
      </c>
      <c r="D14" s="389">
        <f>'General Info and Test Results'!C32</f>
        <v>0</v>
      </c>
      <c r="E14" s="395"/>
      <c r="F14" s="920"/>
      <c r="G14" s="920"/>
      <c r="K14" s="17"/>
    </row>
    <row r="15" spans="1:11" x14ac:dyDescent="0.3">
      <c r="A15" s="7"/>
      <c r="B15" s="388"/>
      <c r="C15" s="386" t="s">
        <v>130</v>
      </c>
      <c r="D15" s="390"/>
      <c r="E15" s="395"/>
      <c r="F15" s="380"/>
      <c r="G15" s="380"/>
      <c r="K15" s="17"/>
    </row>
    <row r="16" spans="1:11" ht="17.25" thickBot="1" x14ac:dyDescent="0.35">
      <c r="A16" s="7"/>
      <c r="B16" s="388"/>
      <c r="C16" s="391" t="s">
        <v>131</v>
      </c>
      <c r="D16" s="392"/>
      <c r="E16" s="395"/>
      <c r="F16" s="380"/>
      <c r="G16" s="380"/>
      <c r="K16" s="17"/>
    </row>
    <row r="17" spans="1:11" ht="17.25" thickBot="1" x14ac:dyDescent="0.35">
      <c r="A17" s="7"/>
      <c r="B17" s="388"/>
      <c r="C17" s="388"/>
      <c r="D17" s="420"/>
      <c r="E17" s="388"/>
      <c r="F17" s="380"/>
      <c r="G17" s="380"/>
      <c r="K17" s="17"/>
    </row>
    <row r="18" spans="1:11" ht="18.75" thickBot="1" x14ac:dyDescent="0.4">
      <c r="B18" s="952" t="str">
        <f>IF(AND($I$6="Single-Speed",$I$7="Fixed Speed"),"'B Test' Data to be recorded","'B1 Test' Data to be recorded")</f>
        <v>'B1 Test' Data to be recorded</v>
      </c>
      <c r="C18" s="953"/>
      <c r="D18" s="953"/>
      <c r="E18" s="953"/>
      <c r="F18" s="953"/>
      <c r="G18" s="954"/>
      <c r="K18" s="17"/>
    </row>
    <row r="19" spans="1:11" ht="17.25" thickBot="1" x14ac:dyDescent="0.35">
      <c r="B19" s="398"/>
      <c r="C19" s="421"/>
      <c r="D19" s="421"/>
      <c r="E19" s="421"/>
      <c r="F19" s="421"/>
      <c r="G19" s="422"/>
      <c r="K19" s="17"/>
    </row>
    <row r="20" spans="1:11" ht="18" thickBot="1" x14ac:dyDescent="0.4">
      <c r="B20" s="395"/>
      <c r="C20" s="913" t="s">
        <v>55</v>
      </c>
      <c r="D20" s="914"/>
      <c r="E20" s="914"/>
      <c r="F20" s="915"/>
      <c r="G20" s="423"/>
      <c r="K20" s="17"/>
    </row>
    <row r="21" spans="1:11" ht="17.25" x14ac:dyDescent="0.35">
      <c r="B21" s="395"/>
      <c r="C21" s="398"/>
      <c r="D21" s="916" t="s">
        <v>48</v>
      </c>
      <c r="E21" s="916"/>
      <c r="F21" s="917"/>
      <c r="G21" s="423"/>
      <c r="I21" s="132"/>
      <c r="K21" s="17"/>
    </row>
    <row r="22" spans="1:11" ht="17.25" x14ac:dyDescent="0.35">
      <c r="B22" s="400"/>
      <c r="C22" s="395"/>
      <c r="D22" s="409" t="s">
        <v>56</v>
      </c>
      <c r="E22" s="409" t="s">
        <v>57</v>
      </c>
      <c r="F22" s="410" t="s">
        <v>58</v>
      </c>
      <c r="G22" s="423"/>
      <c r="I22" s="132"/>
      <c r="K22" s="17"/>
    </row>
    <row r="23" spans="1:11" x14ac:dyDescent="0.3">
      <c r="B23" s="395"/>
      <c r="C23" s="386" t="s">
        <v>442</v>
      </c>
      <c r="D23" s="424"/>
      <c r="E23" s="424"/>
      <c r="F23" s="425"/>
      <c r="G23" s="423"/>
      <c r="I23" s="130"/>
      <c r="K23" s="17"/>
    </row>
    <row r="24" spans="1:11" x14ac:dyDescent="0.3">
      <c r="B24" s="395"/>
      <c r="C24" s="386" t="s">
        <v>443</v>
      </c>
      <c r="D24" s="424"/>
      <c r="E24" s="424"/>
      <c r="F24" s="425"/>
      <c r="G24" s="423"/>
      <c r="I24" s="130"/>
      <c r="K24" s="17"/>
    </row>
    <row r="25" spans="1:11" x14ac:dyDescent="0.3">
      <c r="B25" s="395"/>
      <c r="C25" s="386" t="s">
        <v>59</v>
      </c>
      <c r="D25" s="424"/>
      <c r="E25" s="424"/>
      <c r="F25" s="425"/>
      <c r="G25" s="423"/>
      <c r="I25" s="130"/>
      <c r="K25" s="17"/>
    </row>
    <row r="26" spans="1:11" x14ac:dyDescent="0.3">
      <c r="B26" s="395"/>
      <c r="C26" s="386" t="s">
        <v>60</v>
      </c>
      <c r="D26" s="424"/>
      <c r="E26" s="424"/>
      <c r="F26" s="425"/>
      <c r="G26" s="423"/>
      <c r="I26" s="130"/>
      <c r="K26" s="17"/>
    </row>
    <row r="27" spans="1:11" x14ac:dyDescent="0.3">
      <c r="B27" s="395"/>
      <c r="C27" s="386" t="s">
        <v>445</v>
      </c>
      <c r="D27" s="426"/>
      <c r="E27" s="388"/>
      <c r="F27" s="399"/>
      <c r="G27" s="423"/>
      <c r="I27" s="130"/>
      <c r="K27" s="17"/>
    </row>
    <row r="28" spans="1:11" ht="17.25" thickBot="1" x14ac:dyDescent="0.35">
      <c r="B28" s="395"/>
      <c r="C28" s="391" t="s">
        <v>453</v>
      </c>
      <c r="D28" s="427"/>
      <c r="E28" s="405"/>
      <c r="F28" s="406"/>
      <c r="G28" s="423"/>
      <c r="I28" s="130"/>
      <c r="K28" s="17"/>
    </row>
    <row r="29" spans="1:11" ht="17.25" thickBot="1" x14ac:dyDescent="0.35">
      <c r="B29" s="395"/>
      <c r="C29" s="407"/>
      <c r="D29" s="388"/>
      <c r="E29" s="388"/>
      <c r="F29" s="388"/>
      <c r="G29" s="428"/>
      <c r="I29" s="130"/>
      <c r="K29" s="17"/>
    </row>
    <row r="30" spans="1:11" ht="18" thickBot="1" x14ac:dyDescent="0.4">
      <c r="B30" s="395"/>
      <c r="C30" s="913" t="s">
        <v>61</v>
      </c>
      <c r="D30" s="914"/>
      <c r="E30" s="914"/>
      <c r="F30" s="915"/>
      <c r="G30" s="423"/>
      <c r="I30" s="130"/>
      <c r="K30" s="17"/>
    </row>
    <row r="31" spans="1:11" ht="17.25" x14ac:dyDescent="0.35">
      <c r="B31" s="395"/>
      <c r="C31" s="429"/>
      <c r="D31" s="916" t="s">
        <v>48</v>
      </c>
      <c r="E31" s="916"/>
      <c r="F31" s="917"/>
      <c r="G31" s="423"/>
      <c r="I31" s="130"/>
      <c r="K31" s="17"/>
    </row>
    <row r="32" spans="1:11" ht="17.25" x14ac:dyDescent="0.35">
      <c r="B32" s="400"/>
      <c r="C32" s="408"/>
      <c r="D32" s="409" t="s">
        <v>56</v>
      </c>
      <c r="E32" s="409" t="s">
        <v>57</v>
      </c>
      <c r="F32" s="410" t="s">
        <v>58</v>
      </c>
      <c r="G32" s="423"/>
      <c r="I32" s="130"/>
      <c r="K32" s="17"/>
    </row>
    <row r="33" spans="2:11" x14ac:dyDescent="0.3">
      <c r="B33" s="395"/>
      <c r="C33" s="386" t="s">
        <v>62</v>
      </c>
      <c r="D33" s="430"/>
      <c r="E33" s="430"/>
      <c r="F33" s="431"/>
      <c r="G33" s="423"/>
      <c r="I33" s="130"/>
      <c r="K33" s="17"/>
    </row>
    <row r="34" spans="2:11" x14ac:dyDescent="0.3">
      <c r="B34" s="395"/>
      <c r="C34" s="386" t="s">
        <v>63</v>
      </c>
      <c r="D34" s="430"/>
      <c r="E34" s="430"/>
      <c r="F34" s="431"/>
      <c r="G34" s="423"/>
      <c r="I34" s="133"/>
      <c r="K34" s="17"/>
    </row>
    <row r="35" spans="2:11" x14ac:dyDescent="0.3">
      <c r="B35" s="395"/>
      <c r="C35" s="386" t="s">
        <v>64</v>
      </c>
      <c r="D35" s="430"/>
      <c r="E35" s="430"/>
      <c r="F35" s="431"/>
      <c r="G35" s="423"/>
      <c r="I35" s="130"/>
      <c r="K35" s="17"/>
    </row>
    <row r="36" spans="2:11" x14ac:dyDescent="0.3">
      <c r="B36" s="395"/>
      <c r="C36" s="386" t="s">
        <v>422</v>
      </c>
      <c r="D36" s="430"/>
      <c r="E36" s="430"/>
      <c r="F36" s="431"/>
      <c r="G36" s="423"/>
      <c r="I36" s="130"/>
      <c r="K36" s="17"/>
    </row>
    <row r="37" spans="2:11" ht="17.25" thickBot="1" x14ac:dyDescent="0.35">
      <c r="B37" s="395"/>
      <c r="C37" s="391" t="s">
        <v>437</v>
      </c>
      <c r="D37" s="427"/>
      <c r="E37" s="427"/>
      <c r="F37" s="432"/>
      <c r="G37" s="423"/>
      <c r="I37" s="130"/>
      <c r="K37" s="17"/>
    </row>
    <row r="38" spans="2:11" ht="17.25" thickBot="1" x14ac:dyDescent="0.35">
      <c r="B38" s="395"/>
      <c r="C38" s="388"/>
      <c r="D38" s="388"/>
      <c r="E38" s="388"/>
      <c r="F38" s="388"/>
      <c r="G38" s="428"/>
      <c r="I38" s="130"/>
      <c r="K38" s="17"/>
    </row>
    <row r="39" spans="2:11" ht="18" thickBot="1" x14ac:dyDescent="0.4">
      <c r="B39" s="395"/>
      <c r="C39" s="913" t="s">
        <v>65</v>
      </c>
      <c r="D39" s="914"/>
      <c r="E39" s="914"/>
      <c r="F39" s="915"/>
      <c r="G39" s="423"/>
      <c r="I39" s="130"/>
      <c r="K39" s="17"/>
    </row>
    <row r="40" spans="2:11" ht="17.25" x14ac:dyDescent="0.35">
      <c r="B40" s="395"/>
      <c r="C40" s="398"/>
      <c r="D40" s="916" t="s">
        <v>48</v>
      </c>
      <c r="E40" s="916"/>
      <c r="F40" s="917"/>
      <c r="G40" s="423"/>
      <c r="I40" s="130"/>
      <c r="K40" s="17"/>
    </row>
    <row r="41" spans="2:11" ht="17.25" x14ac:dyDescent="0.35">
      <c r="B41" s="400"/>
      <c r="C41" s="395"/>
      <c r="D41" s="409" t="s">
        <v>56</v>
      </c>
      <c r="E41" s="409" t="s">
        <v>57</v>
      </c>
      <c r="F41" s="410" t="s">
        <v>58</v>
      </c>
      <c r="G41" s="423"/>
      <c r="I41" s="130"/>
      <c r="K41" s="17"/>
    </row>
    <row r="42" spans="2:11" x14ac:dyDescent="0.3">
      <c r="B42" s="395"/>
      <c r="C42" s="386" t="s">
        <v>66</v>
      </c>
      <c r="D42" s="430"/>
      <c r="E42" s="430"/>
      <c r="F42" s="431"/>
      <c r="G42" s="423"/>
      <c r="I42" s="130"/>
      <c r="K42" s="17"/>
    </row>
    <row r="43" spans="2:11" x14ac:dyDescent="0.3">
      <c r="B43" s="395"/>
      <c r="C43" s="386" t="s">
        <v>67</v>
      </c>
      <c r="D43" s="430"/>
      <c r="E43" s="430"/>
      <c r="F43" s="431"/>
      <c r="G43" s="423"/>
      <c r="I43" s="130"/>
      <c r="K43" s="17"/>
    </row>
    <row r="44" spans="2:11" x14ac:dyDescent="0.3">
      <c r="B44" s="395"/>
      <c r="C44" s="386" t="s">
        <v>68</v>
      </c>
      <c r="D44" s="430"/>
      <c r="E44" s="430"/>
      <c r="F44" s="431"/>
      <c r="G44" s="423"/>
      <c r="I44" s="130"/>
      <c r="K44" s="17"/>
    </row>
    <row r="45" spans="2:11" x14ac:dyDescent="0.3">
      <c r="B45" s="395"/>
      <c r="C45" s="386" t="s">
        <v>69</v>
      </c>
      <c r="D45" s="430"/>
      <c r="E45" s="430"/>
      <c r="F45" s="431"/>
      <c r="G45" s="423"/>
      <c r="I45" s="130"/>
      <c r="K45" s="17"/>
    </row>
    <row r="46" spans="2:11" x14ac:dyDescent="0.3">
      <c r="B46" s="395"/>
      <c r="C46" s="386" t="s">
        <v>70</v>
      </c>
      <c r="D46" s="430"/>
      <c r="E46" s="430"/>
      <c r="F46" s="431"/>
      <c r="G46" s="423"/>
      <c r="I46" s="130"/>
      <c r="K46" s="17"/>
    </row>
    <row r="47" spans="2:11" x14ac:dyDescent="0.3">
      <c r="B47" s="395"/>
      <c r="C47" s="386" t="s">
        <v>71</v>
      </c>
      <c r="D47" s="430"/>
      <c r="E47" s="430"/>
      <c r="F47" s="431"/>
      <c r="G47" s="423"/>
      <c r="I47" s="130"/>
      <c r="K47" s="17"/>
    </row>
    <row r="48" spans="2:11" x14ac:dyDescent="0.3">
      <c r="B48" s="395"/>
      <c r="C48" s="386" t="s">
        <v>72</v>
      </c>
      <c r="D48" s="430"/>
      <c r="E48" s="430"/>
      <c r="F48" s="431"/>
      <c r="G48" s="423"/>
      <c r="I48" s="130"/>
      <c r="K48" s="17"/>
    </row>
    <row r="49" spans="2:11" x14ac:dyDescent="0.3">
      <c r="B49" s="395"/>
      <c r="C49" s="386" t="s">
        <v>73</v>
      </c>
      <c r="D49" s="430"/>
      <c r="E49" s="430"/>
      <c r="F49" s="431"/>
      <c r="G49" s="423"/>
      <c r="I49" s="130"/>
      <c r="K49" s="17"/>
    </row>
    <row r="50" spans="2:11" x14ac:dyDescent="0.3">
      <c r="B50" s="395"/>
      <c r="C50" s="386" t="s">
        <v>74</v>
      </c>
      <c r="D50" s="430"/>
      <c r="E50" s="430"/>
      <c r="F50" s="431"/>
      <c r="G50" s="423"/>
      <c r="I50" s="130"/>
      <c r="K50" s="17"/>
    </row>
    <row r="51" spans="2:11" x14ac:dyDescent="0.3">
      <c r="B51" s="395"/>
      <c r="C51" s="386" t="s">
        <v>75</v>
      </c>
      <c r="D51" s="430"/>
      <c r="E51" s="430"/>
      <c r="F51" s="431"/>
      <c r="G51" s="423"/>
      <c r="I51" s="130"/>
      <c r="K51" s="17"/>
    </row>
    <row r="52" spans="2:11" ht="17.25" thickBot="1" x14ac:dyDescent="0.35">
      <c r="B52" s="395"/>
      <c r="C52" s="391" t="s">
        <v>76</v>
      </c>
      <c r="D52" s="427"/>
      <c r="E52" s="427"/>
      <c r="F52" s="432"/>
      <c r="G52" s="423"/>
      <c r="I52" s="130"/>
      <c r="K52" s="17"/>
    </row>
    <row r="53" spans="2:11" ht="17.25" thickBot="1" x14ac:dyDescent="0.35">
      <c r="B53" s="395"/>
      <c r="C53" s="388"/>
      <c r="D53" s="388"/>
      <c r="E53" s="388"/>
      <c r="F53" s="388"/>
      <c r="G53" s="428"/>
      <c r="I53" s="130"/>
      <c r="K53" s="17"/>
    </row>
    <row r="54" spans="2:11" ht="18" thickBot="1" x14ac:dyDescent="0.4">
      <c r="B54" s="395"/>
      <c r="C54" s="913" t="s">
        <v>77</v>
      </c>
      <c r="D54" s="914"/>
      <c r="E54" s="914"/>
      <c r="F54" s="915"/>
      <c r="G54" s="423"/>
      <c r="I54" s="130"/>
      <c r="K54" s="17"/>
    </row>
    <row r="55" spans="2:11" ht="17.25" x14ac:dyDescent="0.35">
      <c r="B55" s="395"/>
      <c r="C55" s="398"/>
      <c r="D55" s="916" t="s">
        <v>48</v>
      </c>
      <c r="E55" s="916"/>
      <c r="F55" s="917"/>
      <c r="G55" s="423"/>
      <c r="I55" s="130"/>
      <c r="K55" s="17"/>
    </row>
    <row r="56" spans="2:11" ht="17.25" x14ac:dyDescent="0.35">
      <c r="B56" s="400"/>
      <c r="C56" s="395"/>
      <c r="D56" s="409" t="s">
        <v>56</v>
      </c>
      <c r="E56" s="409" t="s">
        <v>57</v>
      </c>
      <c r="F56" s="410" t="s">
        <v>58</v>
      </c>
      <c r="G56" s="423"/>
      <c r="I56" s="130"/>
      <c r="K56" s="17"/>
    </row>
    <row r="57" spans="2:11" x14ac:dyDescent="0.3">
      <c r="B57" s="395"/>
      <c r="C57" s="386" t="s">
        <v>306</v>
      </c>
      <c r="D57" s="430"/>
      <c r="E57" s="430"/>
      <c r="F57" s="430"/>
      <c r="G57" s="423"/>
      <c r="I57" s="130"/>
      <c r="K57" s="17"/>
    </row>
    <row r="58" spans="2:11" x14ac:dyDescent="0.3">
      <c r="B58" s="395"/>
      <c r="C58" s="386" t="s">
        <v>307</v>
      </c>
      <c r="D58" s="430"/>
      <c r="E58" s="430"/>
      <c r="F58" s="431"/>
      <c r="G58" s="423"/>
      <c r="I58" s="130"/>
      <c r="K58" s="17"/>
    </row>
    <row r="59" spans="2:11" x14ac:dyDescent="0.3">
      <c r="B59" s="395"/>
      <c r="C59" s="386" t="s">
        <v>80</v>
      </c>
      <c r="D59" s="430"/>
      <c r="E59" s="430"/>
      <c r="F59" s="431"/>
      <c r="G59" s="423"/>
      <c r="I59" s="130"/>
      <c r="K59" s="17"/>
    </row>
    <row r="60" spans="2:11" x14ac:dyDescent="0.3">
      <c r="B60" s="395"/>
      <c r="C60" s="386" t="s">
        <v>81</v>
      </c>
      <c r="D60" s="430"/>
      <c r="E60" s="430"/>
      <c r="F60" s="431"/>
      <c r="G60" s="423"/>
      <c r="I60" s="130"/>
      <c r="K60" s="17"/>
    </row>
    <row r="61" spans="2:11" ht="17.25" thickBot="1" x14ac:dyDescent="0.35">
      <c r="B61" s="395"/>
      <c r="C61" s="412" t="s">
        <v>438</v>
      </c>
      <c r="D61" s="427"/>
      <c r="E61" s="427"/>
      <c r="F61" s="432"/>
      <c r="G61" s="423"/>
      <c r="K61" s="17"/>
    </row>
    <row r="62" spans="2:11" ht="17.25" thickBot="1" x14ac:dyDescent="0.35">
      <c r="B62" s="395"/>
      <c r="C62" s="388"/>
      <c r="D62" s="388"/>
      <c r="E62" s="388"/>
      <c r="F62" s="388"/>
      <c r="G62" s="428"/>
      <c r="I62" s="130"/>
      <c r="K62" s="17"/>
    </row>
    <row r="63" spans="2:11" ht="18" thickBot="1" x14ac:dyDescent="0.4">
      <c r="B63" s="395"/>
      <c r="C63" s="913" t="s">
        <v>82</v>
      </c>
      <c r="D63" s="914"/>
      <c r="E63" s="914"/>
      <c r="F63" s="915"/>
      <c r="G63" s="423"/>
      <c r="I63" s="130"/>
      <c r="K63" s="17"/>
    </row>
    <row r="64" spans="2:11" ht="17.25" x14ac:dyDescent="0.35">
      <c r="B64" s="395"/>
      <c r="C64" s="398"/>
      <c r="D64" s="916" t="s">
        <v>48</v>
      </c>
      <c r="E64" s="916"/>
      <c r="F64" s="917"/>
      <c r="G64" s="423"/>
      <c r="I64" s="130"/>
      <c r="K64" s="17"/>
    </row>
    <row r="65" spans="2:11" ht="17.25" x14ac:dyDescent="0.35">
      <c r="B65" s="413"/>
      <c r="C65" s="395"/>
      <c r="D65" s="409" t="s">
        <v>56</v>
      </c>
      <c r="E65" s="409" t="s">
        <v>57</v>
      </c>
      <c r="F65" s="410" t="s">
        <v>58</v>
      </c>
      <c r="G65" s="423"/>
      <c r="I65" s="130"/>
      <c r="K65" s="17"/>
    </row>
    <row r="66" spans="2:11" x14ac:dyDescent="0.3">
      <c r="B66" s="395"/>
      <c r="C66" s="386" t="s">
        <v>83</v>
      </c>
      <c r="D66" s="430"/>
      <c r="E66" s="430"/>
      <c r="F66" s="431"/>
      <c r="G66" s="423"/>
      <c r="I66" s="130"/>
      <c r="K66" s="17"/>
    </row>
    <row r="67" spans="2:11" x14ac:dyDescent="0.3">
      <c r="B67" s="395"/>
      <c r="C67" s="386" t="s">
        <v>84</v>
      </c>
      <c r="D67" s="430"/>
      <c r="E67" s="430"/>
      <c r="F67" s="431"/>
      <c r="G67" s="423"/>
      <c r="I67" s="130"/>
      <c r="K67" s="17"/>
    </row>
    <row r="68" spans="2:11" x14ac:dyDescent="0.3">
      <c r="B68" s="395"/>
      <c r="C68" s="386" t="s">
        <v>85</v>
      </c>
      <c r="D68" s="430"/>
      <c r="E68" s="430"/>
      <c r="F68" s="431"/>
      <c r="G68" s="423"/>
      <c r="I68" s="130"/>
      <c r="K68" s="17"/>
    </row>
    <row r="69" spans="2:11" x14ac:dyDescent="0.3">
      <c r="B69" s="395"/>
      <c r="C69" s="386" t="s">
        <v>86</v>
      </c>
      <c r="D69" s="430"/>
      <c r="E69" s="430"/>
      <c r="F69" s="431"/>
      <c r="G69" s="423"/>
      <c r="I69" s="130"/>
      <c r="K69" s="17"/>
    </row>
    <row r="70" spans="2:11" x14ac:dyDescent="0.3">
      <c r="B70" s="395"/>
      <c r="C70" s="386" t="s">
        <v>87</v>
      </c>
      <c r="D70" s="430"/>
      <c r="E70" s="430"/>
      <c r="F70" s="431"/>
      <c r="G70" s="423"/>
      <c r="I70" s="130"/>
      <c r="K70" s="17"/>
    </row>
    <row r="71" spans="2:11" x14ac:dyDescent="0.3">
      <c r="B71" s="395"/>
      <c r="C71" s="386" t="s">
        <v>88</v>
      </c>
      <c r="D71" s="430"/>
      <c r="E71" s="430"/>
      <c r="F71" s="431"/>
      <c r="G71" s="423"/>
      <c r="I71" s="130"/>
      <c r="K71" s="17"/>
    </row>
    <row r="72" spans="2:11" x14ac:dyDescent="0.3">
      <c r="B72" s="395"/>
      <c r="C72" s="386" t="s">
        <v>89</v>
      </c>
      <c r="D72" s="430"/>
      <c r="E72" s="430"/>
      <c r="F72" s="431"/>
      <c r="G72" s="423"/>
      <c r="I72" s="130"/>
      <c r="K72" s="17"/>
    </row>
    <row r="73" spans="2:11" ht="17.25" thickBot="1" x14ac:dyDescent="0.35">
      <c r="B73" s="395"/>
      <c r="C73" s="391" t="s">
        <v>90</v>
      </c>
      <c r="D73" s="427"/>
      <c r="E73" s="427"/>
      <c r="F73" s="432"/>
      <c r="G73" s="423"/>
      <c r="I73" s="130"/>
      <c r="K73" s="17"/>
    </row>
    <row r="74" spans="2:11" ht="17.25" thickBot="1" x14ac:dyDescent="0.35">
      <c r="B74" s="395"/>
      <c r="C74" s="388"/>
      <c r="D74" s="388"/>
      <c r="E74" s="388"/>
      <c r="F74" s="388"/>
      <c r="G74" s="428"/>
      <c r="I74" s="130"/>
      <c r="K74" s="17"/>
    </row>
    <row r="75" spans="2:11" ht="18" thickBot="1" x14ac:dyDescent="0.4">
      <c r="B75" s="395"/>
      <c r="C75" s="913" t="s">
        <v>196</v>
      </c>
      <c r="D75" s="914"/>
      <c r="E75" s="914"/>
      <c r="F75" s="915"/>
      <c r="G75" s="423"/>
      <c r="I75" s="130"/>
      <c r="K75" s="17"/>
    </row>
    <row r="76" spans="2:11" ht="17.25" x14ac:dyDescent="0.35">
      <c r="B76" s="400"/>
      <c r="C76" s="398"/>
      <c r="D76" s="916" t="s">
        <v>48</v>
      </c>
      <c r="E76" s="916"/>
      <c r="F76" s="917"/>
      <c r="G76" s="428"/>
      <c r="I76" s="130"/>
      <c r="K76" s="17"/>
    </row>
    <row r="77" spans="2:11" x14ac:dyDescent="0.3">
      <c r="B77" s="395"/>
      <c r="C77" s="386" t="s">
        <v>195</v>
      </c>
      <c r="D77" s="944"/>
      <c r="E77" s="944"/>
      <c r="F77" s="945"/>
      <c r="G77" s="428"/>
      <c r="I77" s="130"/>
      <c r="K77" s="17"/>
    </row>
    <row r="78" spans="2:11" x14ac:dyDescent="0.3">
      <c r="B78" s="395"/>
      <c r="C78" s="386" t="s">
        <v>194</v>
      </c>
      <c r="D78" s="944"/>
      <c r="E78" s="944"/>
      <c r="F78" s="945"/>
      <c r="G78" s="428"/>
      <c r="I78" s="130"/>
      <c r="K78" s="17"/>
    </row>
    <row r="79" spans="2:11" x14ac:dyDescent="0.3">
      <c r="B79" s="395"/>
      <c r="C79" s="386" t="s">
        <v>308</v>
      </c>
      <c r="D79" s="944"/>
      <c r="E79" s="944"/>
      <c r="F79" s="945"/>
      <c r="G79" s="428"/>
      <c r="I79" s="130"/>
      <c r="K79" s="17"/>
    </row>
    <row r="80" spans="2:11" x14ac:dyDescent="0.3">
      <c r="B80" s="395"/>
      <c r="C80" s="386" t="s">
        <v>94</v>
      </c>
      <c r="D80" s="946" t="str">
        <f>IF(D77+D79=0,"",D77+D79)</f>
        <v/>
      </c>
      <c r="E80" s="946"/>
      <c r="F80" s="947"/>
      <c r="G80" s="428"/>
      <c r="I80" s="129"/>
      <c r="K80" s="17"/>
    </row>
    <row r="81" spans="1:11" x14ac:dyDescent="0.3">
      <c r="B81" s="395"/>
      <c r="C81" s="386" t="s">
        <v>193</v>
      </c>
      <c r="D81" s="921"/>
      <c r="E81" s="921"/>
      <c r="F81" s="922"/>
      <c r="G81" s="428"/>
      <c r="I81" s="129"/>
      <c r="K81" s="17"/>
    </row>
    <row r="82" spans="1:11" x14ac:dyDescent="0.3">
      <c r="B82" s="395"/>
      <c r="C82" s="386" t="s">
        <v>192</v>
      </c>
      <c r="D82" s="944"/>
      <c r="E82" s="944"/>
      <c r="F82" s="945"/>
      <c r="G82" s="428"/>
      <c r="I82" s="129"/>
      <c r="K82" s="17"/>
    </row>
    <row r="83" spans="1:11" x14ac:dyDescent="0.3">
      <c r="B83" s="395"/>
      <c r="C83" s="386" t="s">
        <v>191</v>
      </c>
      <c r="D83" s="944"/>
      <c r="E83" s="944"/>
      <c r="F83" s="945"/>
      <c r="G83" s="428"/>
      <c r="I83" s="129"/>
      <c r="K83" s="17"/>
    </row>
    <row r="84" spans="1:11" x14ac:dyDescent="0.3">
      <c r="B84" s="395"/>
      <c r="C84" s="386" t="s">
        <v>308</v>
      </c>
      <c r="D84" s="944"/>
      <c r="E84" s="944"/>
      <c r="F84" s="945"/>
      <c r="G84" s="428"/>
      <c r="I84" s="129"/>
      <c r="K84" s="17"/>
    </row>
    <row r="85" spans="1:11" ht="17.25" thickBot="1" x14ac:dyDescent="0.35">
      <c r="B85" s="395"/>
      <c r="C85" s="391" t="s">
        <v>94</v>
      </c>
      <c r="D85" s="950" t="str">
        <f>IF(D82+D84=0,"",D82+D84)</f>
        <v/>
      </c>
      <c r="E85" s="950"/>
      <c r="F85" s="951"/>
      <c r="G85" s="428"/>
      <c r="I85" s="130"/>
      <c r="K85" s="17"/>
    </row>
    <row r="86" spans="1:11" ht="17.25" thickBot="1" x14ac:dyDescent="0.35">
      <c r="B86" s="416"/>
      <c r="C86" s="405"/>
      <c r="D86" s="405"/>
      <c r="E86" s="405"/>
      <c r="F86" s="405"/>
      <c r="G86" s="433"/>
      <c r="I86" s="130"/>
      <c r="K86" s="17"/>
    </row>
    <row r="87" spans="1:11" ht="17.25" thickBot="1" x14ac:dyDescent="0.35">
      <c r="A87" s="7"/>
      <c r="B87" s="388"/>
      <c r="C87" s="388"/>
      <c r="D87" s="388"/>
      <c r="E87" s="388"/>
      <c r="F87" s="388"/>
      <c r="G87" s="388"/>
      <c r="H87" s="7"/>
      <c r="I87" s="130"/>
      <c r="K87" s="17"/>
    </row>
    <row r="88" spans="1:11" ht="18.75" thickBot="1" x14ac:dyDescent="0.4">
      <c r="B88" s="939" t="s">
        <v>419</v>
      </c>
      <c r="C88" s="940"/>
      <c r="D88" s="940"/>
      <c r="E88" s="940"/>
      <c r="F88" s="940"/>
      <c r="G88" s="941"/>
      <c r="K88" s="17"/>
    </row>
    <row r="89" spans="1:11" ht="17.25" thickBot="1" x14ac:dyDescent="0.35">
      <c r="B89" s="395"/>
      <c r="C89" s="388"/>
      <c r="D89" s="388"/>
      <c r="E89" s="388"/>
      <c r="F89" s="388"/>
      <c r="G89" s="384"/>
      <c r="K89" s="17"/>
    </row>
    <row r="90" spans="1:11" ht="18" thickBot="1" x14ac:dyDescent="0.4">
      <c r="B90" s="395"/>
      <c r="C90" s="913" t="s">
        <v>55</v>
      </c>
      <c r="D90" s="914"/>
      <c r="E90" s="914"/>
      <c r="F90" s="915"/>
      <c r="G90" s="397"/>
      <c r="K90" s="17"/>
    </row>
    <row r="91" spans="1:11" ht="17.25" x14ac:dyDescent="0.35">
      <c r="B91" s="395"/>
      <c r="C91" s="398"/>
      <c r="D91" s="916" t="s">
        <v>48</v>
      </c>
      <c r="E91" s="916"/>
      <c r="F91" s="917"/>
      <c r="G91" s="397"/>
      <c r="K91" s="17"/>
    </row>
    <row r="92" spans="1:11" ht="17.25" x14ac:dyDescent="0.35">
      <c r="B92" s="400"/>
      <c r="C92" s="395"/>
      <c r="D92" s="409" t="s">
        <v>56</v>
      </c>
      <c r="E92" s="409" t="s">
        <v>57</v>
      </c>
      <c r="F92" s="410" t="s">
        <v>58</v>
      </c>
      <c r="G92" s="397"/>
      <c r="K92" s="17"/>
    </row>
    <row r="93" spans="1:11" x14ac:dyDescent="0.3">
      <c r="B93" s="395"/>
      <c r="C93" s="386" t="s">
        <v>442</v>
      </c>
      <c r="D93" s="424"/>
      <c r="E93" s="430"/>
      <c r="F93" s="431"/>
      <c r="G93" s="397"/>
      <c r="K93" s="17"/>
    </row>
    <row r="94" spans="1:11" x14ac:dyDescent="0.3">
      <c r="B94" s="395"/>
      <c r="C94" s="386" t="s">
        <v>443</v>
      </c>
      <c r="D94" s="424"/>
      <c r="E94" s="430"/>
      <c r="F94" s="431"/>
      <c r="G94" s="397"/>
      <c r="K94" s="17"/>
    </row>
    <row r="95" spans="1:11" x14ac:dyDescent="0.3">
      <c r="B95" s="395"/>
      <c r="C95" s="386" t="s">
        <v>59</v>
      </c>
      <c r="D95" s="424"/>
      <c r="E95" s="430"/>
      <c r="F95" s="431"/>
      <c r="G95" s="397"/>
      <c r="K95" s="17"/>
    </row>
    <row r="96" spans="1:11" x14ac:dyDescent="0.3">
      <c r="B96" s="395"/>
      <c r="C96" s="386" t="s">
        <v>60</v>
      </c>
      <c r="D96" s="424"/>
      <c r="E96" s="430"/>
      <c r="F96" s="431"/>
      <c r="G96" s="397"/>
      <c r="K96" s="17"/>
    </row>
    <row r="97" spans="2:11" x14ac:dyDescent="0.3">
      <c r="B97" s="395"/>
      <c r="C97" s="386" t="s">
        <v>445</v>
      </c>
      <c r="D97" s="426"/>
      <c r="E97" s="388"/>
      <c r="F97" s="399"/>
      <c r="G97" s="397"/>
      <c r="I97" s="130"/>
      <c r="K97" s="17"/>
    </row>
    <row r="98" spans="2:11" ht="17.25" thickBot="1" x14ac:dyDescent="0.35">
      <c r="B98" s="395"/>
      <c r="C98" s="391" t="s">
        <v>453</v>
      </c>
      <c r="D98" s="427"/>
      <c r="E98" s="405"/>
      <c r="F98" s="406"/>
      <c r="G98" s="397"/>
      <c r="K98" s="17"/>
    </row>
    <row r="99" spans="2:11" ht="17.25" thickBot="1" x14ac:dyDescent="0.35">
      <c r="B99" s="395"/>
      <c r="C99" s="407"/>
      <c r="D99" s="388"/>
      <c r="E99" s="388"/>
      <c r="F99" s="388"/>
      <c r="G99" s="399"/>
      <c r="K99" s="17"/>
    </row>
    <row r="100" spans="2:11" ht="18" thickBot="1" x14ac:dyDescent="0.4">
      <c r="B100" s="395"/>
      <c r="C100" s="913" t="s">
        <v>61</v>
      </c>
      <c r="D100" s="914"/>
      <c r="E100" s="914"/>
      <c r="F100" s="915"/>
      <c r="G100" s="397"/>
      <c r="K100" s="17"/>
    </row>
    <row r="101" spans="2:11" ht="17.25" x14ac:dyDescent="0.35">
      <c r="B101" s="395"/>
      <c r="C101" s="429"/>
      <c r="D101" s="916" t="s">
        <v>48</v>
      </c>
      <c r="E101" s="916"/>
      <c r="F101" s="917"/>
      <c r="G101" s="397"/>
      <c r="K101" s="17"/>
    </row>
    <row r="102" spans="2:11" ht="17.25" x14ac:dyDescent="0.35">
      <c r="B102" s="400"/>
      <c r="C102" s="408"/>
      <c r="D102" s="409" t="s">
        <v>56</v>
      </c>
      <c r="E102" s="409" t="s">
        <v>57</v>
      </c>
      <c r="F102" s="410" t="s">
        <v>58</v>
      </c>
      <c r="G102" s="397"/>
      <c r="K102" s="17"/>
    </row>
    <row r="103" spans="2:11" x14ac:dyDescent="0.3">
      <c r="B103" s="395"/>
      <c r="C103" s="386" t="s">
        <v>62</v>
      </c>
      <c r="D103" s="430"/>
      <c r="E103" s="430"/>
      <c r="F103" s="431"/>
      <c r="G103" s="397"/>
      <c r="K103" s="17"/>
    </row>
    <row r="104" spans="2:11" x14ac:dyDescent="0.3">
      <c r="B104" s="395"/>
      <c r="C104" s="386" t="s">
        <v>63</v>
      </c>
      <c r="D104" s="430"/>
      <c r="E104" s="430"/>
      <c r="F104" s="431"/>
      <c r="G104" s="397"/>
      <c r="K104" s="17"/>
    </row>
    <row r="105" spans="2:11" x14ac:dyDescent="0.3">
      <c r="B105" s="395"/>
      <c r="C105" s="386" t="s">
        <v>64</v>
      </c>
      <c r="D105" s="430"/>
      <c r="E105" s="430"/>
      <c r="F105" s="431"/>
      <c r="G105" s="397"/>
      <c r="K105" s="17"/>
    </row>
    <row r="106" spans="2:11" x14ac:dyDescent="0.3">
      <c r="B106" s="395"/>
      <c r="C106" s="386" t="s">
        <v>422</v>
      </c>
      <c r="D106" s="430"/>
      <c r="E106" s="430"/>
      <c r="F106" s="431"/>
      <c r="G106" s="397"/>
      <c r="K106" s="17"/>
    </row>
    <row r="107" spans="2:11" ht="17.25" thickBot="1" x14ac:dyDescent="0.35">
      <c r="B107" s="395"/>
      <c r="C107" s="391" t="s">
        <v>437</v>
      </c>
      <c r="D107" s="427"/>
      <c r="E107" s="427"/>
      <c r="F107" s="432"/>
      <c r="G107" s="397"/>
      <c r="K107" s="17"/>
    </row>
    <row r="108" spans="2:11" ht="17.25" thickBot="1" x14ac:dyDescent="0.35">
      <c r="B108" s="395"/>
      <c r="C108" s="388"/>
      <c r="D108" s="388"/>
      <c r="E108" s="388"/>
      <c r="F108" s="388"/>
      <c r="G108" s="399"/>
      <c r="K108" s="17"/>
    </row>
    <row r="109" spans="2:11" ht="18" thickBot="1" x14ac:dyDescent="0.4">
      <c r="B109" s="395"/>
      <c r="C109" s="913" t="s">
        <v>65</v>
      </c>
      <c r="D109" s="914"/>
      <c r="E109" s="914"/>
      <c r="F109" s="915"/>
      <c r="G109" s="397"/>
      <c r="K109" s="17"/>
    </row>
    <row r="110" spans="2:11" ht="17.25" x14ac:dyDescent="0.35">
      <c r="B110" s="395"/>
      <c r="C110" s="398"/>
      <c r="D110" s="916" t="s">
        <v>48</v>
      </c>
      <c r="E110" s="916"/>
      <c r="F110" s="917"/>
      <c r="G110" s="397"/>
      <c r="K110" s="17"/>
    </row>
    <row r="111" spans="2:11" ht="17.25" x14ac:dyDescent="0.35">
      <c r="B111" s="400"/>
      <c r="C111" s="395"/>
      <c r="D111" s="409" t="s">
        <v>56</v>
      </c>
      <c r="E111" s="409" t="s">
        <v>57</v>
      </c>
      <c r="F111" s="410" t="s">
        <v>58</v>
      </c>
      <c r="G111" s="397"/>
      <c r="K111" s="17"/>
    </row>
    <row r="112" spans="2:11" x14ac:dyDescent="0.3">
      <c r="B112" s="395"/>
      <c r="C112" s="386" t="s">
        <v>66</v>
      </c>
      <c r="D112" s="430"/>
      <c r="E112" s="430"/>
      <c r="F112" s="431"/>
      <c r="G112" s="397"/>
      <c r="K112" s="17"/>
    </row>
    <row r="113" spans="2:11" x14ac:dyDescent="0.3">
      <c r="B113" s="395"/>
      <c r="C113" s="386" t="s">
        <v>67</v>
      </c>
      <c r="D113" s="430"/>
      <c r="E113" s="430"/>
      <c r="F113" s="431"/>
      <c r="G113" s="397"/>
      <c r="K113" s="17"/>
    </row>
    <row r="114" spans="2:11" x14ac:dyDescent="0.3">
      <c r="B114" s="395"/>
      <c r="C114" s="386" t="s">
        <v>68</v>
      </c>
      <c r="D114" s="430"/>
      <c r="E114" s="430"/>
      <c r="F114" s="431"/>
      <c r="G114" s="397"/>
      <c r="K114" s="17"/>
    </row>
    <row r="115" spans="2:11" x14ac:dyDescent="0.3">
      <c r="B115" s="395"/>
      <c r="C115" s="386" t="s">
        <v>69</v>
      </c>
      <c r="D115" s="430"/>
      <c r="E115" s="430"/>
      <c r="F115" s="431"/>
      <c r="G115" s="397"/>
      <c r="K115" s="17"/>
    </row>
    <row r="116" spans="2:11" x14ac:dyDescent="0.3">
      <c r="B116" s="395"/>
      <c r="C116" s="386" t="s">
        <v>70</v>
      </c>
      <c r="D116" s="430"/>
      <c r="E116" s="430"/>
      <c r="F116" s="431"/>
      <c r="G116" s="397"/>
      <c r="K116" s="17"/>
    </row>
    <row r="117" spans="2:11" x14ac:dyDescent="0.3">
      <c r="B117" s="395"/>
      <c r="C117" s="386" t="s">
        <v>71</v>
      </c>
      <c r="D117" s="430"/>
      <c r="E117" s="430"/>
      <c r="F117" s="431"/>
      <c r="G117" s="397"/>
      <c r="K117" s="17"/>
    </row>
    <row r="118" spans="2:11" x14ac:dyDescent="0.3">
      <c r="B118" s="395"/>
      <c r="C118" s="386" t="s">
        <v>72</v>
      </c>
      <c r="D118" s="430"/>
      <c r="E118" s="430"/>
      <c r="F118" s="431"/>
      <c r="G118" s="397"/>
      <c r="K118" s="17"/>
    </row>
    <row r="119" spans="2:11" x14ac:dyDescent="0.3">
      <c r="B119" s="395"/>
      <c r="C119" s="386" t="s">
        <v>73</v>
      </c>
      <c r="D119" s="430"/>
      <c r="E119" s="430"/>
      <c r="F119" s="431"/>
      <c r="G119" s="397"/>
      <c r="K119" s="17"/>
    </row>
    <row r="120" spans="2:11" x14ac:dyDescent="0.3">
      <c r="B120" s="395"/>
      <c r="C120" s="386" t="s">
        <v>74</v>
      </c>
      <c r="D120" s="430"/>
      <c r="E120" s="430"/>
      <c r="F120" s="431"/>
      <c r="G120" s="397"/>
      <c r="K120" s="17"/>
    </row>
    <row r="121" spans="2:11" x14ac:dyDescent="0.3">
      <c r="B121" s="395"/>
      <c r="C121" s="386" t="s">
        <v>75</v>
      </c>
      <c r="D121" s="430"/>
      <c r="E121" s="430"/>
      <c r="F121" s="431"/>
      <c r="G121" s="397"/>
      <c r="K121" s="17"/>
    </row>
    <row r="122" spans="2:11" ht="17.25" thickBot="1" x14ac:dyDescent="0.35">
      <c r="B122" s="395"/>
      <c r="C122" s="391" t="s">
        <v>76</v>
      </c>
      <c r="D122" s="427"/>
      <c r="E122" s="427"/>
      <c r="F122" s="432"/>
      <c r="G122" s="397"/>
      <c r="K122" s="17"/>
    </row>
    <row r="123" spans="2:11" ht="17.25" thickBot="1" x14ac:dyDescent="0.35">
      <c r="B123" s="395"/>
      <c r="C123" s="388"/>
      <c r="D123" s="388"/>
      <c r="E123" s="388"/>
      <c r="F123" s="388"/>
      <c r="G123" s="399"/>
      <c r="K123" s="17"/>
    </row>
    <row r="124" spans="2:11" ht="18" thickBot="1" x14ac:dyDescent="0.4">
      <c r="B124" s="395"/>
      <c r="C124" s="913" t="s">
        <v>77</v>
      </c>
      <c r="D124" s="914"/>
      <c r="E124" s="914"/>
      <c r="F124" s="915"/>
      <c r="G124" s="397"/>
      <c r="K124" s="17"/>
    </row>
    <row r="125" spans="2:11" ht="17.25" x14ac:dyDescent="0.35">
      <c r="B125" s="395"/>
      <c r="C125" s="398"/>
      <c r="D125" s="916" t="s">
        <v>48</v>
      </c>
      <c r="E125" s="916"/>
      <c r="F125" s="917"/>
      <c r="G125" s="397"/>
      <c r="K125" s="17"/>
    </row>
    <row r="126" spans="2:11" ht="17.25" x14ac:dyDescent="0.35">
      <c r="B126" s="400"/>
      <c r="C126" s="395"/>
      <c r="D126" s="409" t="s">
        <v>56</v>
      </c>
      <c r="E126" s="409" t="s">
        <v>57</v>
      </c>
      <c r="F126" s="410" t="s">
        <v>58</v>
      </c>
      <c r="G126" s="397"/>
      <c r="K126" s="17"/>
    </row>
    <row r="127" spans="2:11" x14ac:dyDescent="0.3">
      <c r="B127" s="395"/>
      <c r="C127" s="386" t="s">
        <v>78</v>
      </c>
      <c r="D127" s="430"/>
      <c r="E127" s="430"/>
      <c r="F127" s="430"/>
      <c r="G127" s="397"/>
      <c r="K127" s="17"/>
    </row>
    <row r="128" spans="2:11" x14ac:dyDescent="0.3">
      <c r="B128" s="395"/>
      <c r="C128" s="386" t="s">
        <v>79</v>
      </c>
      <c r="D128" s="430"/>
      <c r="E128" s="430"/>
      <c r="F128" s="431"/>
      <c r="G128" s="397"/>
      <c r="K128" s="17"/>
    </row>
    <row r="129" spans="2:11" x14ac:dyDescent="0.3">
      <c r="B129" s="395"/>
      <c r="C129" s="386" t="s">
        <v>80</v>
      </c>
      <c r="D129" s="430"/>
      <c r="E129" s="430"/>
      <c r="F129" s="431"/>
      <c r="G129" s="397"/>
      <c r="K129" s="17"/>
    </row>
    <row r="130" spans="2:11" x14ac:dyDescent="0.3">
      <c r="B130" s="395"/>
      <c r="C130" s="386" t="s">
        <v>81</v>
      </c>
      <c r="D130" s="430"/>
      <c r="E130" s="430"/>
      <c r="F130" s="431"/>
      <c r="G130" s="397"/>
      <c r="K130" s="17"/>
    </row>
    <row r="131" spans="2:11" ht="17.25" thickBot="1" x14ac:dyDescent="0.35">
      <c r="B131" s="395"/>
      <c r="C131" s="412" t="s">
        <v>438</v>
      </c>
      <c r="D131" s="427"/>
      <c r="E131" s="427"/>
      <c r="F131" s="432"/>
      <c r="G131" s="397"/>
      <c r="K131" s="17"/>
    </row>
    <row r="132" spans="2:11" ht="17.25" thickBot="1" x14ac:dyDescent="0.35">
      <c r="B132" s="395"/>
      <c r="C132" s="388"/>
      <c r="D132" s="388"/>
      <c r="E132" s="388"/>
      <c r="F132" s="388"/>
      <c r="G132" s="399"/>
      <c r="K132" s="17"/>
    </row>
    <row r="133" spans="2:11" ht="18" thickBot="1" x14ac:dyDescent="0.4">
      <c r="B133" s="395"/>
      <c r="C133" s="913" t="s">
        <v>82</v>
      </c>
      <c r="D133" s="914"/>
      <c r="E133" s="914"/>
      <c r="F133" s="915"/>
      <c r="G133" s="397"/>
      <c r="K133" s="17"/>
    </row>
    <row r="134" spans="2:11" ht="17.25" x14ac:dyDescent="0.35">
      <c r="B134" s="395"/>
      <c r="C134" s="398"/>
      <c r="D134" s="916" t="s">
        <v>48</v>
      </c>
      <c r="E134" s="916"/>
      <c r="F134" s="917"/>
      <c r="G134" s="397"/>
      <c r="K134" s="17"/>
    </row>
    <row r="135" spans="2:11" ht="17.25" x14ac:dyDescent="0.35">
      <c r="B135" s="413"/>
      <c r="C135" s="395"/>
      <c r="D135" s="409" t="s">
        <v>56</v>
      </c>
      <c r="E135" s="409" t="s">
        <v>57</v>
      </c>
      <c r="F135" s="410" t="s">
        <v>58</v>
      </c>
      <c r="G135" s="397"/>
      <c r="K135" s="17"/>
    </row>
    <row r="136" spans="2:11" x14ac:dyDescent="0.3">
      <c r="B136" s="395"/>
      <c r="C136" s="386" t="s">
        <v>83</v>
      </c>
      <c r="D136" s="430"/>
      <c r="E136" s="430"/>
      <c r="F136" s="431"/>
      <c r="G136" s="397"/>
      <c r="K136" s="17"/>
    </row>
    <row r="137" spans="2:11" x14ac:dyDescent="0.3">
      <c r="B137" s="395"/>
      <c r="C137" s="386" t="s">
        <v>84</v>
      </c>
      <c r="D137" s="430"/>
      <c r="E137" s="430"/>
      <c r="F137" s="431"/>
      <c r="G137" s="397"/>
      <c r="K137" s="17"/>
    </row>
    <row r="138" spans="2:11" x14ac:dyDescent="0.3">
      <c r="B138" s="395"/>
      <c r="C138" s="386" t="s">
        <v>85</v>
      </c>
      <c r="D138" s="430"/>
      <c r="E138" s="430"/>
      <c r="F138" s="431"/>
      <c r="G138" s="397"/>
      <c r="K138" s="17"/>
    </row>
    <row r="139" spans="2:11" x14ac:dyDescent="0.3">
      <c r="B139" s="395"/>
      <c r="C139" s="386" t="s">
        <v>86</v>
      </c>
      <c r="D139" s="430"/>
      <c r="E139" s="430"/>
      <c r="F139" s="431"/>
      <c r="G139" s="397"/>
      <c r="K139" s="17"/>
    </row>
    <row r="140" spans="2:11" x14ac:dyDescent="0.3">
      <c r="B140" s="395"/>
      <c r="C140" s="386" t="s">
        <v>87</v>
      </c>
      <c r="D140" s="430"/>
      <c r="E140" s="430"/>
      <c r="F140" s="431"/>
      <c r="G140" s="397"/>
      <c r="K140" s="17"/>
    </row>
    <row r="141" spans="2:11" x14ac:dyDescent="0.3">
      <c r="B141" s="395"/>
      <c r="C141" s="386" t="s">
        <v>88</v>
      </c>
      <c r="D141" s="430"/>
      <c r="E141" s="430"/>
      <c r="F141" s="431"/>
      <c r="G141" s="397"/>
      <c r="K141" s="17"/>
    </row>
    <row r="142" spans="2:11" x14ac:dyDescent="0.3">
      <c r="B142" s="395"/>
      <c r="C142" s="386" t="s">
        <v>89</v>
      </c>
      <c r="D142" s="430"/>
      <c r="E142" s="430"/>
      <c r="F142" s="431"/>
      <c r="G142" s="397"/>
      <c r="K142" s="17"/>
    </row>
    <row r="143" spans="2:11" ht="17.25" thickBot="1" x14ac:dyDescent="0.35">
      <c r="B143" s="395"/>
      <c r="C143" s="391" t="s">
        <v>90</v>
      </c>
      <c r="D143" s="427"/>
      <c r="E143" s="427"/>
      <c r="F143" s="432"/>
      <c r="G143" s="397"/>
      <c r="K143" s="17"/>
    </row>
    <row r="144" spans="2:11" ht="17.25" thickBot="1" x14ac:dyDescent="0.35">
      <c r="B144" s="395"/>
      <c r="C144" s="388"/>
      <c r="D144" s="388"/>
      <c r="E144" s="388"/>
      <c r="F144" s="388"/>
      <c r="G144" s="399"/>
      <c r="K144" s="17"/>
    </row>
    <row r="145" spans="1:11" ht="18" thickBot="1" x14ac:dyDescent="0.4">
      <c r="B145" s="395"/>
      <c r="C145" s="913" t="s">
        <v>196</v>
      </c>
      <c r="D145" s="914"/>
      <c r="E145" s="914"/>
      <c r="F145" s="915"/>
      <c r="G145" s="399"/>
      <c r="K145" s="17"/>
    </row>
    <row r="146" spans="1:11" ht="17.25" x14ac:dyDescent="0.35">
      <c r="B146" s="400"/>
      <c r="C146" s="395"/>
      <c r="D146" s="948" t="s">
        <v>48</v>
      </c>
      <c r="E146" s="948"/>
      <c r="F146" s="949"/>
      <c r="G146" s="399"/>
      <c r="K146" s="17"/>
    </row>
    <row r="147" spans="1:11" x14ac:dyDescent="0.3">
      <c r="B147" s="395"/>
      <c r="C147" s="386" t="s">
        <v>195</v>
      </c>
      <c r="D147" s="944"/>
      <c r="E147" s="944"/>
      <c r="F147" s="945"/>
      <c r="G147" s="399"/>
      <c r="K147" s="17"/>
    </row>
    <row r="148" spans="1:11" x14ac:dyDescent="0.3">
      <c r="B148" s="395"/>
      <c r="C148" s="386" t="s">
        <v>194</v>
      </c>
      <c r="D148" s="944"/>
      <c r="E148" s="944"/>
      <c r="F148" s="945"/>
      <c r="G148" s="399"/>
      <c r="K148" s="17"/>
    </row>
    <row r="149" spans="1:11" x14ac:dyDescent="0.3">
      <c r="B149" s="395"/>
      <c r="C149" s="386" t="s">
        <v>308</v>
      </c>
      <c r="D149" s="944"/>
      <c r="E149" s="944"/>
      <c r="F149" s="945"/>
      <c r="G149" s="399"/>
      <c r="K149" s="17"/>
    </row>
    <row r="150" spans="1:11" x14ac:dyDescent="0.3">
      <c r="B150" s="395"/>
      <c r="C150" s="386" t="s">
        <v>94</v>
      </c>
      <c r="D150" s="946" t="str">
        <f>IF(D147+D149=0,"",D147+D149)</f>
        <v/>
      </c>
      <c r="E150" s="946"/>
      <c r="F150" s="947"/>
      <c r="G150" s="399"/>
      <c r="K150" s="17"/>
    </row>
    <row r="151" spans="1:11" x14ac:dyDescent="0.3">
      <c r="B151" s="395"/>
      <c r="C151" s="386" t="s">
        <v>193</v>
      </c>
      <c r="D151" s="921"/>
      <c r="E151" s="921"/>
      <c r="F151" s="922"/>
      <c r="G151" s="399"/>
      <c r="K151" s="17"/>
    </row>
    <row r="152" spans="1:11" x14ac:dyDescent="0.3">
      <c r="B152" s="395"/>
      <c r="C152" s="386" t="s">
        <v>192</v>
      </c>
      <c r="D152" s="944"/>
      <c r="E152" s="944"/>
      <c r="F152" s="945"/>
      <c r="G152" s="399"/>
      <c r="K152" s="17"/>
    </row>
    <row r="153" spans="1:11" x14ac:dyDescent="0.3">
      <c r="B153" s="395"/>
      <c r="C153" s="386" t="s">
        <v>191</v>
      </c>
      <c r="D153" s="944"/>
      <c r="E153" s="944"/>
      <c r="F153" s="945"/>
      <c r="G153" s="399"/>
      <c r="K153" s="17"/>
    </row>
    <row r="154" spans="1:11" x14ac:dyDescent="0.3">
      <c r="B154" s="395"/>
      <c r="C154" s="386" t="s">
        <v>308</v>
      </c>
      <c r="D154" s="944"/>
      <c r="E154" s="944"/>
      <c r="F154" s="945"/>
      <c r="G154" s="399"/>
      <c r="K154" s="17"/>
    </row>
    <row r="155" spans="1:11" ht="17.25" thickBot="1" x14ac:dyDescent="0.35">
      <c r="B155" s="395"/>
      <c r="C155" s="391" t="s">
        <v>94</v>
      </c>
      <c r="D155" s="950" t="str">
        <f>IF(D152+D154=0,"",D152+D154)</f>
        <v/>
      </c>
      <c r="E155" s="950"/>
      <c r="F155" s="951"/>
      <c r="G155" s="399"/>
      <c r="K155" s="17"/>
    </row>
    <row r="156" spans="1:11" ht="17.25" thickBot="1" x14ac:dyDescent="0.35">
      <c r="B156" s="416"/>
      <c r="C156" s="405"/>
      <c r="D156" s="405"/>
      <c r="E156" s="405"/>
      <c r="F156" s="405"/>
      <c r="G156" s="406"/>
      <c r="K156" s="17"/>
    </row>
    <row r="157" spans="1:11" x14ac:dyDescent="0.3">
      <c r="K157" s="17"/>
    </row>
    <row r="158" spans="1:11" s="16" customFormat="1" x14ac:dyDescent="0.3">
      <c r="A158" s="17"/>
      <c r="B158" s="17"/>
      <c r="C158" s="17"/>
      <c r="D158" s="17"/>
      <c r="E158" s="17"/>
      <c r="F158" s="17"/>
      <c r="G158" s="17"/>
      <c r="H158" s="17"/>
      <c r="I158" s="17"/>
      <c r="J158" s="17"/>
      <c r="K158"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49">
    <mergeCell ref="C100:F100"/>
    <mergeCell ref="C109:F109"/>
    <mergeCell ref="C124:F124"/>
    <mergeCell ref="C133:F133"/>
    <mergeCell ref="C145:F145"/>
    <mergeCell ref="B2:C2"/>
    <mergeCell ref="C11:D11"/>
    <mergeCell ref="C20:F20"/>
    <mergeCell ref="C30:F30"/>
    <mergeCell ref="C39:F39"/>
    <mergeCell ref="F14:G14"/>
    <mergeCell ref="E2:F2"/>
    <mergeCell ref="D153:F153"/>
    <mergeCell ref="D154:F154"/>
    <mergeCell ref="D155:F155"/>
    <mergeCell ref="B18:G18"/>
    <mergeCell ref="B88:G88"/>
    <mergeCell ref="D83:F83"/>
    <mergeCell ref="D84:F84"/>
    <mergeCell ref="D85:F85"/>
    <mergeCell ref="D147:F147"/>
    <mergeCell ref="D148:F148"/>
    <mergeCell ref="D80:F80"/>
    <mergeCell ref="D82:F82"/>
    <mergeCell ref="C54:F54"/>
    <mergeCell ref="C63:F63"/>
    <mergeCell ref="C75:F75"/>
    <mergeCell ref="C90:F90"/>
    <mergeCell ref="H4:I4"/>
    <mergeCell ref="D152:F152"/>
    <mergeCell ref="D151:F151"/>
    <mergeCell ref="D134:F134"/>
    <mergeCell ref="D125:F125"/>
    <mergeCell ref="D110:F110"/>
    <mergeCell ref="D101:F101"/>
    <mergeCell ref="D149:F149"/>
    <mergeCell ref="D150:F150"/>
    <mergeCell ref="D76:F76"/>
    <mergeCell ref="D146:F146"/>
    <mergeCell ref="D81:F81"/>
    <mergeCell ref="D91:F91"/>
    <mergeCell ref="D77:F77"/>
    <mergeCell ref="D78:F78"/>
    <mergeCell ref="D79:F79"/>
    <mergeCell ref="D64:F64"/>
    <mergeCell ref="D55:F55"/>
    <mergeCell ref="D40:F40"/>
    <mergeCell ref="D31:F31"/>
    <mergeCell ref="D21:F21"/>
  </mergeCells>
  <phoneticPr fontId="26" type="noConversion"/>
  <conditionalFormatting sqref="D81:F81 E93:F96 D119:D122 D129:F131 E112:F122 D153:D155 D149:D150 D151:F151">
    <cfRule type="expression" dxfId="70" priority="19" stopIfTrue="1">
      <formula>OR($I$5 = "Heating Only Central Heat Pump",AND($I$6 = "Single-Speed",$I$7 = "Fixed Speed"))</formula>
    </cfRule>
  </conditionalFormatting>
  <conditionalFormatting sqref="D33:F37 D42:F52 D13:D14 D66:F73 D79:D80 D57:F61 D83:D85 D27:D28 D23:F26 D93:D98 D103:F107 D112:D118 D127:F128 D136:F143 D147:D148 D152">
    <cfRule type="expression" dxfId="69" priority="27" stopIfTrue="1">
      <formula>$I$5="Heating Only Central Heat Pump"</formula>
    </cfRule>
  </conditionalFormatting>
  <conditionalFormatting sqref="D15:D16">
    <cfRule type="expression" dxfId="68" priority="28" stopIfTrue="1">
      <formula>OR($D$14="No",$I$5="Heating Only Central Heat Pump")</formula>
    </cfRule>
  </conditionalFormatting>
  <conditionalFormatting sqref="D77:D78">
    <cfRule type="expression" dxfId="67" priority="2" stopIfTrue="1">
      <formula>$I$5="Heating Only Central Heat Pump"</formula>
    </cfRule>
  </conditionalFormatting>
  <conditionalFormatting sqref="D82">
    <cfRule type="expression" dxfId="66" priority="1" stopIfTrue="1">
      <formula>$I$5="Heating Only Central Heat Pump"</formula>
    </cfRule>
  </conditionalFormatting>
  <dataValidations count="1">
    <dataValidation type="list" showInputMessage="1" showErrorMessage="1" sqref="D13" xr:uid="{00000000-0002-0000-0700-000000000000}">
      <formula1>Yes_No</formula1>
    </dataValidation>
  </dataValidations>
  <hyperlinks>
    <hyperlink ref="E2" location="Instructions!A1" display="Back to Instructions" xr:uid="{00000000-0004-0000-0700-000000000000}"/>
    <hyperlink ref="E2:F2" location="Instructions!A1" display="Back to Instructions tab" xr:uid="{00000000-0004-0000-0700-000001000000}"/>
  </hyperlinks>
  <pageMargins left="0.7" right="0.7" top="0.75" bottom="0.75" header="0.3" footer="0.3"/>
  <pageSetup orientation="portrait" horizontalDpi="200" verticalDpi="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0070C0"/>
  </sheetPr>
  <dimension ref="A1:K87"/>
  <sheetViews>
    <sheetView showGridLines="0" showZeros="0" zoomScale="80" zoomScaleNormal="80" workbookViewId="0">
      <selection activeCell="E2" sqref="E2:F2"/>
    </sheetView>
  </sheetViews>
  <sheetFormatPr defaultColWidth="9.140625" defaultRowHeight="16.5" x14ac:dyDescent="0.3"/>
  <cols>
    <col min="1" max="1" width="5.7109375" style="5" customWidth="1"/>
    <col min="2" max="2" width="30.42578125" style="5" customWidth="1"/>
    <col min="3" max="3" width="69" style="5" customWidth="1"/>
    <col min="4" max="6" width="12.85546875" style="5" customWidth="1"/>
    <col min="7" max="7" width="10.28515625" style="5" customWidth="1"/>
    <col min="8" max="8" width="21.85546875" style="5" customWidth="1"/>
    <col min="9" max="9" width="21.5703125" style="5" customWidth="1"/>
    <col min="10" max="10" width="6.140625" style="110" customWidth="1"/>
    <col min="11" max="11" width="5.7109375" style="5" customWidth="1"/>
    <col min="12" max="16384" width="9.140625" style="5"/>
  </cols>
  <sheetData>
    <row r="1" spans="1:11" ht="17.25" thickBot="1" x14ac:dyDescent="0.35">
      <c r="J1" s="123"/>
      <c r="K1" s="17"/>
    </row>
    <row r="2" spans="1:11" s="1" customFormat="1" ht="18.75" thickBot="1" x14ac:dyDescent="0.4">
      <c r="B2" s="805" t="s">
        <v>622</v>
      </c>
      <c r="C2" s="806"/>
      <c r="E2" s="840" t="s">
        <v>553</v>
      </c>
      <c r="F2" s="840"/>
      <c r="G2" s="332"/>
      <c r="J2" s="124"/>
      <c r="K2" s="125"/>
    </row>
    <row r="3" spans="1:11" s="1" customFormat="1" ht="17.25" customHeight="1" thickBot="1" x14ac:dyDescent="0.35">
      <c r="B3" s="365" t="s">
        <v>623</v>
      </c>
      <c r="C3" s="366" t="str">
        <f>'Version Control'!C3</f>
        <v>Commercial Air Conditioner and Heat Pump</v>
      </c>
      <c r="J3" s="124"/>
      <c r="K3" s="125"/>
    </row>
    <row r="4" spans="1:11" s="1" customFormat="1" ht="18" thickBot="1" x14ac:dyDescent="0.35">
      <c r="B4" s="367" t="s">
        <v>142</v>
      </c>
      <c r="C4" s="368" t="str">
        <f>'Version Control'!C4</f>
        <v>v2.2</v>
      </c>
      <c r="H4" s="802" t="s">
        <v>351</v>
      </c>
      <c r="I4" s="804"/>
      <c r="J4" s="124"/>
      <c r="K4" s="125"/>
    </row>
    <row r="5" spans="1:11" s="1" customFormat="1" x14ac:dyDescent="0.3">
      <c r="B5" s="367" t="s">
        <v>475</v>
      </c>
      <c r="C5" s="369">
        <f>'Version Control'!C5</f>
        <v>43353</v>
      </c>
      <c r="H5" s="51" t="s">
        <v>160</v>
      </c>
      <c r="I5" s="337">
        <f>'General Info and Test Results'!C24</f>
        <v>0</v>
      </c>
      <c r="J5" s="124"/>
      <c r="K5" s="125"/>
    </row>
    <row r="6" spans="1:11" s="1" customFormat="1" x14ac:dyDescent="0.3">
      <c r="B6" s="370" t="s">
        <v>141</v>
      </c>
      <c r="C6" s="371" t="str">
        <f ca="1">MID(CELL("filename",$A$1), FIND("]", CELL("filename", $A$1))+ 1, 255)</f>
        <v>F Test Recorded Data</v>
      </c>
      <c r="H6" s="52" t="s">
        <v>155</v>
      </c>
      <c r="I6" s="338">
        <f>'General Info and Test Results'!C25</f>
        <v>0</v>
      </c>
      <c r="J6" s="124"/>
      <c r="K6" s="125"/>
    </row>
    <row r="7" spans="1:11" s="1" customFormat="1" ht="17.25" thickBot="1" x14ac:dyDescent="0.35">
      <c r="B7" s="361" t="s">
        <v>140</v>
      </c>
      <c r="C7" s="362" t="str">
        <f ca="1">'Version Control'!C7</f>
        <v>Commercial Air Conditioner and Heat Pump - v2.2.xlsx</v>
      </c>
      <c r="H7" s="53" t="s">
        <v>201</v>
      </c>
      <c r="I7" s="339">
        <f>'General Info and Test Results'!C26</f>
        <v>0</v>
      </c>
      <c r="J7" s="124"/>
      <c r="K7" s="125"/>
    </row>
    <row r="8" spans="1:11" s="1" customFormat="1" ht="17.25" thickBot="1" x14ac:dyDescent="0.35">
      <c r="B8" s="372" t="s">
        <v>143</v>
      </c>
      <c r="C8" s="373" t="str">
        <f>'Version Control'!C8</f>
        <v>[MM/DD/YYYY]</v>
      </c>
      <c r="G8" s="12"/>
      <c r="H8" s="8"/>
      <c r="J8" s="124"/>
      <c r="K8" s="125"/>
    </row>
    <row r="9" spans="1:11" s="1" customFormat="1" x14ac:dyDescent="0.3">
      <c r="B9" s="4"/>
      <c r="C9" s="232"/>
      <c r="G9" s="12"/>
      <c r="H9" s="8"/>
      <c r="J9" s="124"/>
      <c r="K9" s="125"/>
    </row>
    <row r="10" spans="1:11" ht="17.25" thickBot="1" x14ac:dyDescent="0.35">
      <c r="K10" s="17"/>
    </row>
    <row r="11" spans="1:11" ht="18.75" thickBot="1" x14ac:dyDescent="0.4">
      <c r="B11" s="380"/>
      <c r="C11" s="939" t="s">
        <v>421</v>
      </c>
      <c r="D11" s="941"/>
      <c r="E11" s="418"/>
      <c r="F11" s="380"/>
      <c r="G11" s="380"/>
      <c r="K11" s="17"/>
    </row>
    <row r="12" spans="1:11" ht="17.25" x14ac:dyDescent="0.35">
      <c r="B12" s="380"/>
      <c r="C12" s="383" t="s">
        <v>52</v>
      </c>
      <c r="D12" s="384"/>
      <c r="E12" s="418"/>
      <c r="F12" s="380"/>
      <c r="G12" s="380"/>
      <c r="K12" s="17"/>
    </row>
    <row r="13" spans="1:11" ht="17.25" x14ac:dyDescent="0.35">
      <c r="A13" s="7"/>
      <c r="B13" s="385"/>
      <c r="C13" s="414" t="s">
        <v>53</v>
      </c>
      <c r="D13" s="387"/>
      <c r="E13" s="418"/>
      <c r="F13" s="380"/>
      <c r="G13" s="380"/>
      <c r="K13" s="17"/>
    </row>
    <row r="14" spans="1:11" x14ac:dyDescent="0.3">
      <c r="A14" s="7"/>
      <c r="B14" s="388"/>
      <c r="C14" s="414" t="s">
        <v>129</v>
      </c>
      <c r="D14" s="389">
        <f>'General Info and Test Results'!C32</f>
        <v>0</v>
      </c>
      <c r="E14" s="418"/>
      <c r="F14" s="920"/>
      <c r="G14" s="920"/>
      <c r="K14" s="17"/>
    </row>
    <row r="15" spans="1:11" x14ac:dyDescent="0.3">
      <c r="A15" s="7"/>
      <c r="B15" s="388"/>
      <c r="C15" s="414" t="s">
        <v>130</v>
      </c>
      <c r="D15" s="390"/>
      <c r="E15" s="418"/>
      <c r="F15" s="380"/>
      <c r="G15" s="380"/>
      <c r="K15" s="17"/>
    </row>
    <row r="16" spans="1:11" ht="17.25" thickBot="1" x14ac:dyDescent="0.35">
      <c r="A16" s="7"/>
      <c r="B16" s="388"/>
      <c r="C16" s="415" t="s">
        <v>131</v>
      </c>
      <c r="D16" s="392"/>
      <c r="E16" s="418"/>
      <c r="F16" s="380"/>
      <c r="G16" s="380"/>
      <c r="H16" s="134"/>
      <c r="K16" s="17"/>
    </row>
    <row r="17" spans="1:11" ht="17.25" thickBot="1" x14ac:dyDescent="0.35">
      <c r="A17" s="7"/>
      <c r="B17" s="388"/>
      <c r="C17" s="388"/>
      <c r="D17" s="420"/>
      <c r="E17" s="434"/>
      <c r="F17" s="380"/>
      <c r="G17" s="380"/>
      <c r="H17" s="134"/>
      <c r="K17" s="17"/>
    </row>
    <row r="18" spans="1:11" ht="18.75" thickBot="1" x14ac:dyDescent="0.4">
      <c r="B18" s="939" t="s">
        <v>420</v>
      </c>
      <c r="C18" s="940"/>
      <c r="D18" s="940"/>
      <c r="E18" s="940"/>
      <c r="F18" s="940"/>
      <c r="G18" s="941"/>
      <c r="H18" s="8"/>
      <c r="K18" s="17"/>
    </row>
    <row r="19" spans="1:11" ht="17.25" thickBot="1" x14ac:dyDescent="0.35">
      <c r="B19" s="398"/>
      <c r="C19" s="421"/>
      <c r="D19" s="421"/>
      <c r="E19" s="421"/>
      <c r="F19" s="421"/>
      <c r="G19" s="422"/>
      <c r="H19" s="8"/>
      <c r="K19" s="17"/>
    </row>
    <row r="20" spans="1:11" ht="18" thickBot="1" x14ac:dyDescent="0.4">
      <c r="B20" s="395"/>
      <c r="C20" s="913" t="s">
        <v>55</v>
      </c>
      <c r="D20" s="914"/>
      <c r="E20" s="914"/>
      <c r="F20" s="915"/>
      <c r="G20" s="423"/>
      <c r="H20" s="8"/>
      <c r="K20" s="17"/>
    </row>
    <row r="21" spans="1:11" ht="17.25" x14ac:dyDescent="0.35">
      <c r="B21" s="395"/>
      <c r="C21" s="398"/>
      <c r="D21" s="955" t="s">
        <v>48</v>
      </c>
      <c r="E21" s="955"/>
      <c r="F21" s="956"/>
      <c r="G21" s="423"/>
      <c r="H21" s="8"/>
      <c r="K21" s="17"/>
    </row>
    <row r="22" spans="1:11" ht="17.25" x14ac:dyDescent="0.35">
      <c r="B22" s="400"/>
      <c r="C22" s="395"/>
      <c r="D22" s="409" t="s">
        <v>56</v>
      </c>
      <c r="E22" s="409" t="s">
        <v>57</v>
      </c>
      <c r="F22" s="410" t="s">
        <v>58</v>
      </c>
      <c r="G22" s="435"/>
      <c r="H22" s="8"/>
      <c r="K22" s="17"/>
    </row>
    <row r="23" spans="1:11" x14ac:dyDescent="0.3">
      <c r="B23" s="395"/>
      <c r="C23" s="386" t="s">
        <v>442</v>
      </c>
      <c r="D23" s="436"/>
      <c r="E23" s="437"/>
      <c r="F23" s="431"/>
      <c r="G23" s="438"/>
      <c r="H23" s="8"/>
      <c r="K23" s="17"/>
    </row>
    <row r="24" spans="1:11" x14ac:dyDescent="0.3">
      <c r="B24" s="395"/>
      <c r="C24" s="386" t="s">
        <v>443</v>
      </c>
      <c r="D24" s="430"/>
      <c r="E24" s="430"/>
      <c r="F24" s="431"/>
      <c r="G24" s="438"/>
      <c r="H24" s="8"/>
      <c r="K24" s="17"/>
    </row>
    <row r="25" spans="1:11" x14ac:dyDescent="0.3">
      <c r="B25" s="395"/>
      <c r="C25" s="414" t="s">
        <v>59</v>
      </c>
      <c r="D25" s="430"/>
      <c r="E25" s="430"/>
      <c r="F25" s="431"/>
      <c r="G25" s="438"/>
      <c r="H25" s="8"/>
      <c r="K25" s="17"/>
    </row>
    <row r="26" spans="1:11" x14ac:dyDescent="0.3">
      <c r="B26" s="395"/>
      <c r="C26" s="414" t="s">
        <v>60</v>
      </c>
      <c r="D26" s="430"/>
      <c r="E26" s="430"/>
      <c r="F26" s="431"/>
      <c r="G26" s="438"/>
      <c r="H26" s="8"/>
      <c r="K26" s="17"/>
    </row>
    <row r="27" spans="1:11" x14ac:dyDescent="0.3">
      <c r="B27" s="395"/>
      <c r="C27" s="386" t="s">
        <v>445</v>
      </c>
      <c r="D27" s="430"/>
      <c r="E27" s="388"/>
      <c r="F27" s="399"/>
      <c r="G27" s="439"/>
      <c r="H27" s="8"/>
      <c r="K27" s="17"/>
    </row>
    <row r="28" spans="1:11" ht="17.25" thickBot="1" x14ac:dyDescent="0.35">
      <c r="B28" s="395"/>
      <c r="C28" s="391" t="s">
        <v>453</v>
      </c>
      <c r="D28" s="427"/>
      <c r="E28" s="405"/>
      <c r="F28" s="406"/>
      <c r="G28" s="439"/>
      <c r="H28" s="8"/>
      <c r="K28" s="17"/>
    </row>
    <row r="29" spans="1:11" ht="17.25" thickBot="1" x14ac:dyDescent="0.35">
      <c r="B29" s="395"/>
      <c r="C29" s="407"/>
      <c r="D29" s="388"/>
      <c r="E29" s="388"/>
      <c r="F29" s="388"/>
      <c r="G29" s="440"/>
      <c r="H29" s="8"/>
      <c r="K29" s="17"/>
    </row>
    <row r="30" spans="1:11" ht="18" thickBot="1" x14ac:dyDescent="0.4">
      <c r="B30" s="395"/>
      <c r="C30" s="913" t="s">
        <v>61</v>
      </c>
      <c r="D30" s="914"/>
      <c r="E30" s="914"/>
      <c r="F30" s="915"/>
      <c r="G30" s="439"/>
      <c r="H30" s="8"/>
      <c r="K30" s="17"/>
    </row>
    <row r="31" spans="1:11" ht="17.25" x14ac:dyDescent="0.35">
      <c r="B31" s="395"/>
      <c r="C31" s="429"/>
      <c r="D31" s="955" t="s">
        <v>48</v>
      </c>
      <c r="E31" s="955"/>
      <c r="F31" s="956"/>
      <c r="G31" s="439"/>
      <c r="H31" s="8"/>
      <c r="K31" s="17"/>
    </row>
    <row r="32" spans="1:11" ht="17.25" x14ac:dyDescent="0.35">
      <c r="B32" s="400"/>
      <c r="C32" s="408"/>
      <c r="D32" s="409" t="s">
        <v>56</v>
      </c>
      <c r="E32" s="409" t="s">
        <v>57</v>
      </c>
      <c r="F32" s="410" t="s">
        <v>58</v>
      </c>
      <c r="G32" s="441"/>
      <c r="H32" s="8"/>
      <c r="K32" s="17"/>
    </row>
    <row r="33" spans="2:11" x14ac:dyDescent="0.3">
      <c r="B33" s="395"/>
      <c r="C33" s="414" t="s">
        <v>62</v>
      </c>
      <c r="D33" s="430"/>
      <c r="E33" s="430"/>
      <c r="F33" s="431"/>
      <c r="G33" s="438"/>
      <c r="H33" s="8"/>
      <c r="K33" s="17"/>
    </row>
    <row r="34" spans="2:11" x14ac:dyDescent="0.3">
      <c r="B34" s="395"/>
      <c r="C34" s="414" t="s">
        <v>63</v>
      </c>
      <c r="D34" s="430"/>
      <c r="E34" s="430"/>
      <c r="F34" s="431"/>
      <c r="G34" s="438"/>
      <c r="H34" s="8"/>
      <c r="K34" s="17"/>
    </row>
    <row r="35" spans="2:11" x14ac:dyDescent="0.3">
      <c r="B35" s="395"/>
      <c r="C35" s="414" t="s">
        <v>64</v>
      </c>
      <c r="D35" s="430"/>
      <c r="E35" s="430"/>
      <c r="F35" s="431"/>
      <c r="G35" s="438"/>
      <c r="H35" s="8"/>
      <c r="K35" s="17"/>
    </row>
    <row r="36" spans="2:11" x14ac:dyDescent="0.3">
      <c r="B36" s="395"/>
      <c r="C36" s="414" t="s">
        <v>422</v>
      </c>
      <c r="D36" s="430"/>
      <c r="E36" s="430"/>
      <c r="F36" s="431"/>
      <c r="G36" s="438"/>
      <c r="H36" s="8"/>
      <c r="K36" s="17"/>
    </row>
    <row r="37" spans="2:11" ht="17.25" thickBot="1" x14ac:dyDescent="0.35">
      <c r="B37" s="395"/>
      <c r="C37" s="391" t="s">
        <v>437</v>
      </c>
      <c r="D37" s="427"/>
      <c r="E37" s="427"/>
      <c r="F37" s="432"/>
      <c r="G37" s="438"/>
      <c r="H37" s="8"/>
      <c r="K37" s="17"/>
    </row>
    <row r="38" spans="2:11" ht="17.25" thickBot="1" x14ac:dyDescent="0.35">
      <c r="B38" s="395"/>
      <c r="C38" s="388"/>
      <c r="D38" s="388"/>
      <c r="E38" s="388"/>
      <c r="F38" s="388"/>
      <c r="G38" s="440"/>
      <c r="H38" s="8"/>
      <c r="K38" s="17"/>
    </row>
    <row r="39" spans="2:11" ht="18" thickBot="1" x14ac:dyDescent="0.4">
      <c r="B39" s="395"/>
      <c r="C39" s="913" t="s">
        <v>65</v>
      </c>
      <c r="D39" s="914"/>
      <c r="E39" s="914"/>
      <c r="F39" s="915"/>
      <c r="G39" s="439"/>
      <c r="H39" s="8"/>
      <c r="K39" s="17"/>
    </row>
    <row r="40" spans="2:11" ht="17.25" x14ac:dyDescent="0.35">
      <c r="B40" s="395"/>
      <c r="C40" s="398"/>
      <c r="D40" s="955" t="s">
        <v>48</v>
      </c>
      <c r="E40" s="955"/>
      <c r="F40" s="956"/>
      <c r="G40" s="439"/>
      <c r="H40" s="8"/>
      <c r="K40" s="17"/>
    </row>
    <row r="41" spans="2:11" ht="17.25" x14ac:dyDescent="0.35">
      <c r="B41" s="400"/>
      <c r="C41" s="395"/>
      <c r="D41" s="409" t="s">
        <v>56</v>
      </c>
      <c r="E41" s="409" t="s">
        <v>57</v>
      </c>
      <c r="F41" s="410" t="s">
        <v>58</v>
      </c>
      <c r="G41" s="441"/>
      <c r="H41" s="8"/>
      <c r="K41" s="17"/>
    </row>
    <row r="42" spans="2:11" x14ac:dyDescent="0.3">
      <c r="B42" s="395"/>
      <c r="C42" s="414" t="s">
        <v>66</v>
      </c>
      <c r="D42" s="430"/>
      <c r="E42" s="430"/>
      <c r="F42" s="431"/>
      <c r="G42" s="438"/>
      <c r="H42" s="8"/>
      <c r="K42" s="17"/>
    </row>
    <row r="43" spans="2:11" x14ac:dyDescent="0.3">
      <c r="B43" s="395"/>
      <c r="C43" s="414" t="s">
        <v>67</v>
      </c>
      <c r="D43" s="430"/>
      <c r="E43" s="430"/>
      <c r="F43" s="431"/>
      <c r="G43" s="438"/>
      <c r="H43" s="8"/>
      <c r="K43" s="17"/>
    </row>
    <row r="44" spans="2:11" x14ac:dyDescent="0.3">
      <c r="B44" s="395"/>
      <c r="C44" s="414" t="s">
        <v>68</v>
      </c>
      <c r="D44" s="430"/>
      <c r="E44" s="430"/>
      <c r="F44" s="431"/>
      <c r="G44" s="438"/>
      <c r="H44" s="8"/>
      <c r="K44" s="17"/>
    </row>
    <row r="45" spans="2:11" x14ac:dyDescent="0.3">
      <c r="B45" s="395"/>
      <c r="C45" s="414" t="s">
        <v>69</v>
      </c>
      <c r="D45" s="430"/>
      <c r="E45" s="430"/>
      <c r="F45" s="431"/>
      <c r="G45" s="438"/>
      <c r="H45" s="8"/>
      <c r="K45" s="17"/>
    </row>
    <row r="46" spans="2:11" x14ac:dyDescent="0.3">
      <c r="B46" s="395"/>
      <c r="C46" s="414" t="s">
        <v>70</v>
      </c>
      <c r="D46" s="430"/>
      <c r="E46" s="430"/>
      <c r="F46" s="431"/>
      <c r="G46" s="438"/>
      <c r="H46" s="8"/>
      <c r="K46" s="17"/>
    </row>
    <row r="47" spans="2:11" x14ac:dyDescent="0.3">
      <c r="B47" s="395"/>
      <c r="C47" s="414" t="s">
        <v>71</v>
      </c>
      <c r="D47" s="430"/>
      <c r="E47" s="430"/>
      <c r="F47" s="431"/>
      <c r="G47" s="438"/>
      <c r="H47" s="8"/>
      <c r="K47" s="17"/>
    </row>
    <row r="48" spans="2:11" x14ac:dyDescent="0.3">
      <c r="B48" s="395"/>
      <c r="C48" s="414" t="s">
        <v>72</v>
      </c>
      <c r="D48" s="430"/>
      <c r="E48" s="430"/>
      <c r="F48" s="431"/>
      <c r="G48" s="438"/>
      <c r="H48" s="8"/>
      <c r="K48" s="17"/>
    </row>
    <row r="49" spans="2:11" x14ac:dyDescent="0.3">
      <c r="B49" s="395"/>
      <c r="C49" s="414" t="s">
        <v>73</v>
      </c>
      <c r="D49" s="430"/>
      <c r="E49" s="430"/>
      <c r="F49" s="431"/>
      <c r="G49" s="438"/>
      <c r="H49" s="8"/>
      <c r="K49" s="17"/>
    </row>
    <row r="50" spans="2:11" x14ac:dyDescent="0.3">
      <c r="B50" s="395"/>
      <c r="C50" s="414" t="s">
        <v>74</v>
      </c>
      <c r="D50" s="430"/>
      <c r="E50" s="430"/>
      <c r="F50" s="431"/>
      <c r="G50" s="438"/>
      <c r="H50" s="8"/>
      <c r="K50" s="17"/>
    </row>
    <row r="51" spans="2:11" x14ac:dyDescent="0.3">
      <c r="B51" s="395"/>
      <c r="C51" s="414" t="s">
        <v>75</v>
      </c>
      <c r="D51" s="430"/>
      <c r="E51" s="430"/>
      <c r="F51" s="431"/>
      <c r="G51" s="438"/>
      <c r="H51" s="8"/>
      <c r="K51" s="17"/>
    </row>
    <row r="52" spans="2:11" ht="17.25" thickBot="1" x14ac:dyDescent="0.35">
      <c r="B52" s="395"/>
      <c r="C52" s="415" t="s">
        <v>76</v>
      </c>
      <c r="D52" s="427"/>
      <c r="E52" s="427"/>
      <c r="F52" s="432"/>
      <c r="G52" s="438"/>
      <c r="H52" s="8"/>
      <c r="K52" s="17"/>
    </row>
    <row r="53" spans="2:11" ht="17.25" thickBot="1" x14ac:dyDescent="0.35">
      <c r="B53" s="395"/>
      <c r="C53" s="388"/>
      <c r="D53" s="388"/>
      <c r="E53" s="388"/>
      <c r="F53" s="388"/>
      <c r="G53" s="440"/>
      <c r="H53" s="8"/>
      <c r="K53" s="17"/>
    </row>
    <row r="54" spans="2:11" ht="18" thickBot="1" x14ac:dyDescent="0.4">
      <c r="B54" s="395"/>
      <c r="C54" s="913" t="s">
        <v>77</v>
      </c>
      <c r="D54" s="914"/>
      <c r="E54" s="914"/>
      <c r="F54" s="915"/>
      <c r="G54" s="439"/>
      <c r="H54" s="8"/>
      <c r="K54" s="17"/>
    </row>
    <row r="55" spans="2:11" ht="17.25" x14ac:dyDescent="0.35">
      <c r="B55" s="395"/>
      <c r="C55" s="398"/>
      <c r="D55" s="955" t="s">
        <v>48</v>
      </c>
      <c r="E55" s="955"/>
      <c r="F55" s="956"/>
      <c r="G55" s="439"/>
      <c r="H55" s="8"/>
      <c r="K55" s="17"/>
    </row>
    <row r="56" spans="2:11" ht="17.25" x14ac:dyDescent="0.35">
      <c r="B56" s="400"/>
      <c r="C56" s="395"/>
      <c r="D56" s="409" t="s">
        <v>56</v>
      </c>
      <c r="E56" s="409" t="s">
        <v>57</v>
      </c>
      <c r="F56" s="410" t="s">
        <v>58</v>
      </c>
      <c r="G56" s="441"/>
      <c r="H56" s="8"/>
      <c r="K56" s="17"/>
    </row>
    <row r="57" spans="2:11" x14ac:dyDescent="0.3">
      <c r="B57" s="395"/>
      <c r="C57" s="414" t="s">
        <v>306</v>
      </c>
      <c r="D57" s="430"/>
      <c r="E57" s="430"/>
      <c r="F57" s="431"/>
      <c r="G57" s="438"/>
      <c r="H57" s="8"/>
      <c r="K57" s="17"/>
    </row>
    <row r="58" spans="2:11" x14ac:dyDescent="0.3">
      <c r="B58" s="395"/>
      <c r="C58" s="414" t="s">
        <v>307</v>
      </c>
      <c r="D58" s="430"/>
      <c r="E58" s="430"/>
      <c r="F58" s="431"/>
      <c r="G58" s="438"/>
      <c r="H58" s="8"/>
      <c r="K58" s="17"/>
    </row>
    <row r="59" spans="2:11" x14ac:dyDescent="0.3">
      <c r="B59" s="395"/>
      <c r="C59" s="414" t="s">
        <v>80</v>
      </c>
      <c r="D59" s="430"/>
      <c r="E59" s="430"/>
      <c r="F59" s="431"/>
      <c r="G59" s="438"/>
      <c r="H59" s="8"/>
      <c r="K59" s="17"/>
    </row>
    <row r="60" spans="2:11" ht="17.25" thickBot="1" x14ac:dyDescent="0.35">
      <c r="B60" s="395"/>
      <c r="C60" s="415" t="s">
        <v>81</v>
      </c>
      <c r="D60" s="427"/>
      <c r="E60" s="427"/>
      <c r="F60" s="432"/>
      <c r="G60" s="438"/>
      <c r="H60" s="8"/>
      <c r="K60" s="17"/>
    </row>
    <row r="61" spans="2:11" ht="17.25" thickBot="1" x14ac:dyDescent="0.35">
      <c r="B61" s="395"/>
      <c r="C61" s="442"/>
      <c r="D61" s="388"/>
      <c r="E61" s="388"/>
      <c r="F61" s="388"/>
      <c r="G61" s="440"/>
      <c r="H61" s="135"/>
      <c r="I61" s="129"/>
      <c r="K61" s="17"/>
    </row>
    <row r="62" spans="2:11" ht="18" thickBot="1" x14ac:dyDescent="0.4">
      <c r="B62" s="395"/>
      <c r="C62" s="913" t="s">
        <v>82</v>
      </c>
      <c r="D62" s="914"/>
      <c r="E62" s="914"/>
      <c r="F62" s="915"/>
      <c r="G62" s="439"/>
      <c r="H62" s="8"/>
      <c r="K62" s="17"/>
    </row>
    <row r="63" spans="2:11" ht="17.25" x14ac:dyDescent="0.35">
      <c r="B63" s="395"/>
      <c r="C63" s="398"/>
      <c r="D63" s="955" t="s">
        <v>48</v>
      </c>
      <c r="E63" s="955"/>
      <c r="F63" s="956"/>
      <c r="G63" s="443"/>
      <c r="H63" s="8"/>
      <c r="K63" s="17"/>
    </row>
    <row r="64" spans="2:11" ht="17.25" x14ac:dyDescent="0.35">
      <c r="B64" s="413"/>
      <c r="C64" s="395"/>
      <c r="D64" s="409" t="s">
        <v>56</v>
      </c>
      <c r="E64" s="409" t="s">
        <v>57</v>
      </c>
      <c r="F64" s="410" t="s">
        <v>58</v>
      </c>
      <c r="G64" s="443"/>
      <c r="H64" s="8"/>
      <c r="K64" s="17"/>
    </row>
    <row r="65" spans="2:11" x14ac:dyDescent="0.3">
      <c r="B65" s="395"/>
      <c r="C65" s="414" t="s">
        <v>83</v>
      </c>
      <c r="D65" s="430"/>
      <c r="E65" s="430"/>
      <c r="F65" s="431"/>
      <c r="G65" s="438"/>
      <c r="H65" s="8"/>
      <c r="K65" s="17"/>
    </row>
    <row r="66" spans="2:11" x14ac:dyDescent="0.3">
      <c r="B66" s="395"/>
      <c r="C66" s="414" t="s">
        <v>84</v>
      </c>
      <c r="D66" s="430"/>
      <c r="E66" s="430"/>
      <c r="F66" s="431"/>
      <c r="G66" s="438"/>
      <c r="H66" s="8"/>
      <c r="K66" s="17"/>
    </row>
    <row r="67" spans="2:11" x14ac:dyDescent="0.3">
      <c r="B67" s="395"/>
      <c r="C67" s="414" t="s">
        <v>85</v>
      </c>
      <c r="D67" s="430"/>
      <c r="E67" s="430"/>
      <c r="F67" s="431"/>
      <c r="G67" s="438"/>
      <c r="H67" s="8"/>
      <c r="K67" s="17"/>
    </row>
    <row r="68" spans="2:11" x14ac:dyDescent="0.3">
      <c r="B68" s="395"/>
      <c r="C68" s="414" t="s">
        <v>86</v>
      </c>
      <c r="D68" s="430"/>
      <c r="E68" s="430"/>
      <c r="F68" s="431"/>
      <c r="G68" s="438"/>
      <c r="H68" s="8"/>
      <c r="K68" s="17"/>
    </row>
    <row r="69" spans="2:11" x14ac:dyDescent="0.3">
      <c r="B69" s="395"/>
      <c r="C69" s="414" t="s">
        <v>87</v>
      </c>
      <c r="D69" s="430"/>
      <c r="E69" s="430"/>
      <c r="F69" s="431"/>
      <c r="G69" s="438"/>
      <c r="H69" s="8"/>
      <c r="K69" s="17"/>
    </row>
    <row r="70" spans="2:11" x14ac:dyDescent="0.3">
      <c r="B70" s="395"/>
      <c r="C70" s="414" t="s">
        <v>88</v>
      </c>
      <c r="D70" s="430"/>
      <c r="E70" s="430"/>
      <c r="F70" s="431"/>
      <c r="G70" s="438"/>
      <c r="H70" s="8"/>
      <c r="K70" s="17"/>
    </row>
    <row r="71" spans="2:11" x14ac:dyDescent="0.3">
      <c r="B71" s="395"/>
      <c r="C71" s="414" t="s">
        <v>89</v>
      </c>
      <c r="D71" s="430"/>
      <c r="E71" s="430"/>
      <c r="F71" s="431"/>
      <c r="G71" s="438"/>
      <c r="H71" s="8"/>
      <c r="K71" s="17"/>
    </row>
    <row r="72" spans="2:11" ht="17.25" thickBot="1" x14ac:dyDescent="0.35">
      <c r="B72" s="395"/>
      <c r="C72" s="415" t="s">
        <v>90</v>
      </c>
      <c r="D72" s="427"/>
      <c r="E72" s="427"/>
      <c r="F72" s="432"/>
      <c r="G72" s="438"/>
      <c r="H72" s="8"/>
      <c r="K72" s="17"/>
    </row>
    <row r="73" spans="2:11" ht="17.25" thickBot="1" x14ac:dyDescent="0.35">
      <c r="B73" s="395"/>
      <c r="C73" s="388"/>
      <c r="D73" s="388"/>
      <c r="E73" s="388"/>
      <c r="F73" s="388"/>
      <c r="G73" s="440"/>
      <c r="H73" s="8"/>
      <c r="K73" s="17"/>
    </row>
    <row r="74" spans="2:11" ht="18" thickBot="1" x14ac:dyDescent="0.4">
      <c r="B74" s="395"/>
      <c r="C74" s="913" t="s">
        <v>196</v>
      </c>
      <c r="D74" s="914"/>
      <c r="E74" s="914"/>
      <c r="F74" s="915"/>
      <c r="G74" s="439"/>
      <c r="H74" s="8"/>
      <c r="K74" s="17"/>
    </row>
    <row r="75" spans="2:11" ht="17.25" x14ac:dyDescent="0.35">
      <c r="B75" s="400"/>
      <c r="C75" s="398"/>
      <c r="D75" s="955" t="s">
        <v>48</v>
      </c>
      <c r="E75" s="955"/>
      <c r="F75" s="956"/>
      <c r="G75" s="444"/>
      <c r="H75" s="8"/>
      <c r="K75" s="17"/>
    </row>
    <row r="76" spans="2:11" ht="17.25" x14ac:dyDescent="0.35">
      <c r="B76" s="395"/>
      <c r="C76" s="414" t="s">
        <v>195</v>
      </c>
      <c r="D76" s="944"/>
      <c r="E76" s="944"/>
      <c r="F76" s="945"/>
      <c r="G76" s="444"/>
      <c r="H76" s="8"/>
      <c r="K76" s="17"/>
    </row>
    <row r="77" spans="2:11" ht="17.25" x14ac:dyDescent="0.35">
      <c r="B77" s="395"/>
      <c r="C77" s="414" t="s">
        <v>194</v>
      </c>
      <c r="D77" s="944"/>
      <c r="E77" s="944"/>
      <c r="F77" s="945"/>
      <c r="G77" s="444"/>
      <c r="H77" s="8"/>
      <c r="K77" s="17"/>
    </row>
    <row r="78" spans="2:11" ht="17.25" x14ac:dyDescent="0.35">
      <c r="B78" s="395"/>
      <c r="C78" s="414" t="s">
        <v>308</v>
      </c>
      <c r="D78" s="944"/>
      <c r="E78" s="944"/>
      <c r="F78" s="945"/>
      <c r="G78" s="444"/>
      <c r="H78" s="8"/>
      <c r="K78" s="17"/>
    </row>
    <row r="79" spans="2:11" x14ac:dyDescent="0.3">
      <c r="B79" s="395"/>
      <c r="C79" s="414" t="s">
        <v>94</v>
      </c>
      <c r="D79" s="946" t="str">
        <f>IF(D76+D78=0,"",D76+D78)</f>
        <v/>
      </c>
      <c r="E79" s="946"/>
      <c r="F79" s="947"/>
      <c r="G79" s="440"/>
      <c r="H79" s="8"/>
      <c r="K79" s="17"/>
    </row>
    <row r="80" spans="2:11" x14ac:dyDescent="0.3">
      <c r="B80" s="395"/>
      <c r="C80" s="414" t="s">
        <v>193</v>
      </c>
      <c r="D80" s="944"/>
      <c r="E80" s="944"/>
      <c r="F80" s="945"/>
      <c r="G80" s="445"/>
      <c r="H80" s="8"/>
      <c r="K80" s="17"/>
    </row>
    <row r="81" spans="1:11" ht="17.25" x14ac:dyDescent="0.35">
      <c r="B81" s="395"/>
      <c r="C81" s="414" t="s">
        <v>192</v>
      </c>
      <c r="D81" s="944"/>
      <c r="E81" s="944"/>
      <c r="F81" s="945"/>
      <c r="G81" s="444"/>
      <c r="H81" s="8"/>
      <c r="K81" s="17"/>
    </row>
    <row r="82" spans="1:11" ht="17.25" x14ac:dyDescent="0.35">
      <c r="B82" s="395"/>
      <c r="C82" s="414" t="s">
        <v>191</v>
      </c>
      <c r="D82" s="944"/>
      <c r="E82" s="944"/>
      <c r="F82" s="945"/>
      <c r="G82" s="444"/>
      <c r="H82" s="8"/>
      <c r="K82" s="17"/>
    </row>
    <row r="83" spans="1:11" ht="17.25" x14ac:dyDescent="0.35">
      <c r="B83" s="395"/>
      <c r="C83" s="414" t="s">
        <v>308</v>
      </c>
      <c r="D83" s="944"/>
      <c r="E83" s="944"/>
      <c r="F83" s="945"/>
      <c r="G83" s="444"/>
      <c r="H83" s="8"/>
      <c r="K83" s="17"/>
    </row>
    <row r="84" spans="1:11" ht="17.25" thickBot="1" x14ac:dyDescent="0.35">
      <c r="B84" s="395"/>
      <c r="C84" s="415" t="s">
        <v>94</v>
      </c>
      <c r="D84" s="950" t="str">
        <f>IF(D81+D83=0,"",D81+D83)</f>
        <v/>
      </c>
      <c r="E84" s="950"/>
      <c r="F84" s="951"/>
      <c r="G84" s="440"/>
      <c r="H84" s="8"/>
      <c r="K84" s="17"/>
    </row>
    <row r="85" spans="1:11" ht="17.25" thickBot="1" x14ac:dyDescent="0.35">
      <c r="B85" s="416"/>
      <c r="C85" s="405"/>
      <c r="D85" s="405"/>
      <c r="E85" s="405"/>
      <c r="F85" s="405"/>
      <c r="G85" s="446"/>
      <c r="H85" s="8"/>
      <c r="K85" s="17"/>
    </row>
    <row r="86" spans="1:11" x14ac:dyDescent="0.3">
      <c r="K86" s="17"/>
    </row>
    <row r="87" spans="1:11" s="16" customFormat="1" x14ac:dyDescent="0.3">
      <c r="A87" s="17"/>
      <c r="B87" s="17"/>
      <c r="C87" s="17"/>
      <c r="D87" s="17"/>
      <c r="E87" s="17"/>
      <c r="F87" s="17"/>
      <c r="G87" s="17"/>
      <c r="H87" s="17"/>
      <c r="I87" s="17"/>
      <c r="J87" s="17"/>
      <c r="K87" s="17"/>
    </row>
  </sheetData>
  <sheetProtection password="CA08"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7">
    <mergeCell ref="H4:I4"/>
    <mergeCell ref="B2:C2"/>
    <mergeCell ref="C11:D11"/>
    <mergeCell ref="C20:F20"/>
    <mergeCell ref="C30:F30"/>
    <mergeCell ref="B18:G18"/>
    <mergeCell ref="D82:F82"/>
    <mergeCell ref="D83:F83"/>
    <mergeCell ref="D84:F84"/>
    <mergeCell ref="D21:F21"/>
    <mergeCell ref="D78:F78"/>
    <mergeCell ref="D79:F79"/>
    <mergeCell ref="D76:F76"/>
    <mergeCell ref="D77:F77"/>
    <mergeCell ref="C39:F39"/>
    <mergeCell ref="C54:F54"/>
    <mergeCell ref="C62:F62"/>
    <mergeCell ref="C74:F74"/>
    <mergeCell ref="D81:F81"/>
    <mergeCell ref="D80:F80"/>
    <mergeCell ref="D63:F63"/>
    <mergeCell ref="D55:F55"/>
    <mergeCell ref="D40:F40"/>
    <mergeCell ref="D31:F31"/>
    <mergeCell ref="D75:F75"/>
    <mergeCell ref="F14:G14"/>
    <mergeCell ref="E2:F2"/>
  </mergeCells>
  <phoneticPr fontId="26" type="noConversion"/>
  <conditionalFormatting sqref="D65:F72 D76:D79 D80:F80 D81:D84 D33:F37 D42:F52 D57:F60 D27:D28 D23:F26 D13:D14">
    <cfRule type="expression" dxfId="65" priority="23" stopIfTrue="1">
      <formula>OR($I$5 = "Heating Only Central Heat Pump",$I$6 = "Single-Speed")</formula>
    </cfRule>
  </conditionalFormatting>
  <conditionalFormatting sqref="D15:D16">
    <cfRule type="expression" dxfId="64" priority="24" stopIfTrue="1">
      <formula>OR($D$14="No",$I$5="Heating Only Central Heat Pump")</formula>
    </cfRule>
  </conditionalFormatting>
  <dataValidations count="1">
    <dataValidation type="list" showInputMessage="1" showErrorMessage="1" sqref="D13" xr:uid="{00000000-0002-0000-0800-000000000000}">
      <formula1>Yes_No</formula1>
    </dataValidation>
  </dataValidations>
  <hyperlinks>
    <hyperlink ref="E2" location="Instructions!A1" display="Back to Instructions" xr:uid="{00000000-0004-0000-0800-000000000000}"/>
    <hyperlink ref="E2:F2" location="Instructions!A1" display="Back to Instructions tab" xr:uid="{00000000-0004-0000-0800-000001000000}"/>
  </hyperlinks>
  <pageMargins left="0.7" right="0.7" top="0.75" bottom="0.75" header="0.3" footer="0.3"/>
  <pageSetup orientation="portrait" horizontalDpi="200" verticalDpi="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9FFC03-AAA9-4E7B-A334-D881D44315FD}">
  <ds:schemaRefs>
    <ds:schemaRef ds:uri="http://purl.org/dc/terms/"/>
    <ds:schemaRef ds:uri="http://schemas.openxmlformats.org/package/2006/metadata/core-properties"/>
    <ds:schemaRef ds:uri="http://purl.org/dc/dcmitype/"/>
    <ds:schemaRef ds:uri="http://schemas.microsoft.com/office/infopath/2007/PartnerControls"/>
    <ds:schemaRef ds:uri="fa504290-48b0-421f-a269-8aa9478176e6"/>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950869D-FC6F-43C6-AEC7-D0D4FA935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F3C3BD-B6C4-4554-BEFA-072073E23F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21</vt:i4>
      </vt:variant>
    </vt:vector>
  </HeadingPairs>
  <TitlesOfParts>
    <vt:vector size="49" baseType="lpstr">
      <vt:lpstr>Instructions</vt:lpstr>
      <vt:lpstr>General Info and Test Results</vt:lpstr>
      <vt:lpstr>Instrumentation</vt:lpstr>
      <vt:lpstr>Setup</vt:lpstr>
      <vt:lpstr>Photos</vt:lpstr>
      <vt:lpstr>Test Settings</vt:lpstr>
      <vt:lpstr>A Test Recorded Data</vt:lpstr>
      <vt:lpstr>B Test Recorded Data</vt:lpstr>
      <vt:lpstr>F Test Recorded Data</vt:lpstr>
      <vt:lpstr>Ev Test Recorded Data</vt:lpstr>
      <vt:lpstr>Optional C Test Recorded Data</vt:lpstr>
      <vt:lpstr>Optional D Test Recorded Data</vt:lpstr>
      <vt:lpstr>Optional G Test Recorded Data</vt:lpstr>
      <vt:lpstr>Optional I Test Recorded Data</vt:lpstr>
      <vt:lpstr>H0-1 Test Recorded Data</vt:lpstr>
      <vt:lpstr>H1 Test Recorded Data</vt:lpstr>
      <vt:lpstr>H2 Test Recorded Data</vt:lpstr>
      <vt:lpstr>H3 Test Recorded Data</vt:lpstr>
      <vt:lpstr>Optional H0C Test Recorded Data</vt:lpstr>
      <vt:lpstr>Optional H1C Test Recorded Data</vt:lpstr>
      <vt:lpstr>IEER Tests Recorded Data</vt:lpstr>
      <vt:lpstr>IEER Calculations</vt:lpstr>
      <vt:lpstr>Calculations</vt:lpstr>
      <vt:lpstr>Test Comments</vt:lpstr>
      <vt:lpstr>Report Sign-off Block</vt:lpstr>
      <vt:lpstr>Tables</vt:lpstr>
      <vt:lpstr>Drop-Downs</vt:lpstr>
      <vt:lpstr>Version Control</vt:lpstr>
      <vt:lpstr>Compressor_Type</vt:lpstr>
      <vt:lpstr>Controls_Type</vt:lpstr>
      <vt:lpstr>COP_ss</vt:lpstr>
      <vt:lpstr>COP_vs</vt:lpstr>
      <vt:lpstr>Duration</vt:lpstr>
      <vt:lpstr>Fan_Type</vt:lpstr>
      <vt:lpstr>H1_Type</vt:lpstr>
      <vt:lpstr>IEER_Calc</vt:lpstr>
      <vt:lpstr>IEER_Test_Data</vt:lpstr>
      <vt:lpstr>IEER_Tests</vt:lpstr>
      <vt:lpstr>Min_Max</vt:lpstr>
      <vt:lpstr>Instructions!Print_Area</vt:lpstr>
      <vt:lpstr>Product_Type</vt:lpstr>
      <vt:lpstr>Refrigerant_Type</vt:lpstr>
      <vt:lpstr>Region</vt:lpstr>
      <vt:lpstr>SS_FS_round</vt:lpstr>
      <vt:lpstr>SS_VS_round</vt:lpstr>
      <vt:lpstr>Test</vt:lpstr>
      <vt:lpstr>TS_VS_round</vt:lpstr>
      <vt:lpstr>VS_VS_round</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Degitz</dc:creator>
  <cp:lastModifiedBy>Carlisle</cp:lastModifiedBy>
  <dcterms:created xsi:type="dcterms:W3CDTF">2012-08-16T11:36:33Z</dcterms:created>
  <dcterms:modified xsi:type="dcterms:W3CDTF">2018-09-10T18:26:29Z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