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030"/>
  <workbookPr defaultThemeVersion="164011"/>
  <mc:AlternateContent xmlns:mc="http://schemas.openxmlformats.org/markup-compatibility/2006">
    <mc:Choice Requires="x15">
      <x15ac:absPath xmlns:x15ac="http://schemas.microsoft.com/office/spreadsheetml/2010/11/ac" url="C:\Users\Jesse\Desktop\"/>
    </mc:Choice>
  </mc:AlternateContent>
  <workbookProtection workbookAlgorithmName="SHA-512" workbookHashValue="IpS3JsGjJSr6Xq/7JQtUOf3em1Wo8erE9Z4dJ4JN26SMWziehoh6vfTyqnpT9UFmU3hY5O7BzWjxsYhjr6WEew==" workbookSaltValue="M1FdNygGxS7CCf5ndtrF9A==" workbookSpinCount="100000" lockStructure="1"/>
  <bookViews>
    <workbookView xWindow="0" yWindow="0" windowWidth="20475" windowHeight="15360" tabRatio="713"/>
  </bookViews>
  <sheets>
    <sheet name="Introduction" sheetId="7" r:id="rId1"/>
    <sheet name="Summary" sheetId="3" r:id="rId2"/>
    <sheet name="ECM Input" sheetId="2" r:id="rId3"/>
    <sheet name="Calculations" sheetId="5" state="hidden" r:id="rId4"/>
    <sheet name="Payment Buildup" sheetId="6" state="hidden" r:id="rId5"/>
    <sheet name="Payment Schedule" sheetId="1" state="hidden" r:id="rId6"/>
  </sheets>
  <definedNames>
    <definedName name="MV">Summary!$J$14</definedName>
    <definedName name="OM">Summary!$J$13</definedName>
  </definedNames>
  <calcPr calcId="171027"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3" i="5" l="1"/>
  <c r="F3" i="5"/>
  <c r="L3" i="5"/>
  <c r="V1" i="5"/>
  <c r="V3" i="5"/>
  <c r="B5" i="3"/>
  <c r="C5" i="3"/>
  <c r="B6" i="3"/>
  <c r="C6" i="3"/>
  <c r="B7" i="3"/>
  <c r="C7" i="3"/>
  <c r="B8" i="3"/>
  <c r="C8" i="3"/>
  <c r="B9" i="3"/>
  <c r="C9" i="3"/>
  <c r="B10" i="3"/>
  <c r="C10" i="3"/>
  <c r="B11" i="3"/>
  <c r="C11" i="3"/>
  <c r="B12" i="3"/>
  <c r="C12" i="3"/>
  <c r="B13" i="3"/>
  <c r="C13" i="3"/>
  <c r="B14" i="3"/>
  <c r="C14" i="3"/>
  <c r="B15" i="3"/>
  <c r="C15" i="3"/>
  <c r="B16" i="3"/>
  <c r="C16" i="3"/>
  <c r="B17" i="3"/>
  <c r="C17" i="3"/>
  <c r="B18" i="3"/>
  <c r="C18" i="3"/>
  <c r="B19" i="3"/>
  <c r="C19" i="3"/>
  <c r="B20" i="3"/>
  <c r="C20" i="3"/>
  <c r="B21" i="3"/>
  <c r="C21" i="3"/>
  <c r="B22" i="3"/>
  <c r="C22" i="3"/>
  <c r="B23" i="3"/>
  <c r="C23" i="3"/>
  <c r="B24" i="3"/>
  <c r="C24" i="3"/>
  <c r="B25" i="3"/>
  <c r="C25" i="3"/>
  <c r="B26" i="3"/>
  <c r="C26" i="3"/>
  <c r="B27" i="3"/>
  <c r="C27" i="3"/>
  <c r="B28" i="3"/>
  <c r="C28" i="3"/>
  <c r="W1" i="5"/>
  <c r="X1" i="5"/>
  <c r="Y1" i="5"/>
  <c r="C4" i="3"/>
  <c r="B4" i="3"/>
  <c r="D41" i="1"/>
  <c r="D42" i="1"/>
  <c r="D43" i="1"/>
  <c r="D45" i="1"/>
  <c r="D46" i="1"/>
  <c r="D47" i="1"/>
  <c r="D48" i="1"/>
  <c r="D49" i="1"/>
  <c r="D50" i="1"/>
  <c r="D51" i="1"/>
  <c r="D52" i="1"/>
  <c r="D53" i="1"/>
  <c r="D54" i="1"/>
  <c r="D55" i="1"/>
  <c r="D57" i="1"/>
  <c r="D58" i="1"/>
  <c r="D59" i="1"/>
  <c r="D60" i="1"/>
  <c r="D61" i="1"/>
  <c r="D62" i="1"/>
  <c r="D63" i="1"/>
  <c r="D64" i="1"/>
  <c r="D65" i="1"/>
  <c r="D66" i="1"/>
  <c r="D67" i="1"/>
  <c r="D69" i="1"/>
  <c r="D70" i="1"/>
  <c r="D71" i="1"/>
  <c r="D72" i="1"/>
  <c r="D73" i="1"/>
  <c r="D74" i="1"/>
  <c r="D75" i="1"/>
  <c r="D76" i="1"/>
  <c r="D77" i="1"/>
  <c r="D78" i="1"/>
  <c r="D79" i="1"/>
  <c r="D81" i="1"/>
  <c r="D82" i="1"/>
  <c r="D83" i="1"/>
  <c r="D84" i="1"/>
  <c r="D85" i="1"/>
  <c r="D86" i="1"/>
  <c r="D87" i="1"/>
  <c r="D88" i="1"/>
  <c r="D89" i="1"/>
  <c r="D90" i="1"/>
  <c r="D91" i="1"/>
  <c r="D93" i="1"/>
  <c r="D94" i="1"/>
  <c r="D95" i="1"/>
  <c r="D96" i="1"/>
  <c r="D97" i="1"/>
  <c r="D98" i="1"/>
  <c r="D99" i="1"/>
  <c r="D100" i="1"/>
  <c r="D101" i="1"/>
  <c r="D102" i="1"/>
  <c r="D103" i="1"/>
  <c r="D105" i="1"/>
  <c r="D106" i="1"/>
  <c r="D107" i="1"/>
  <c r="D108" i="1"/>
  <c r="D109" i="1"/>
  <c r="D110" i="1"/>
  <c r="D111" i="1"/>
  <c r="D112" i="1"/>
  <c r="D113" i="1"/>
  <c r="D114" i="1"/>
  <c r="D115" i="1"/>
  <c r="D117" i="1"/>
  <c r="D118" i="1"/>
  <c r="D119" i="1"/>
  <c r="D120" i="1"/>
  <c r="D121" i="1"/>
  <c r="D122" i="1"/>
  <c r="D123" i="1"/>
  <c r="D124" i="1"/>
  <c r="D125" i="1"/>
  <c r="D126" i="1"/>
  <c r="D127" i="1"/>
  <c r="D129" i="1"/>
  <c r="D130" i="1"/>
  <c r="D131" i="1"/>
  <c r="D132" i="1"/>
  <c r="D133" i="1"/>
  <c r="D134" i="1"/>
  <c r="D135" i="1"/>
  <c r="D136" i="1"/>
  <c r="D137" i="1"/>
  <c r="D138" i="1"/>
  <c r="D139" i="1"/>
  <c r="D141" i="1"/>
  <c r="D142" i="1"/>
  <c r="D143" i="1"/>
  <c r="D144" i="1"/>
  <c r="D145" i="1"/>
  <c r="D146" i="1"/>
  <c r="D147" i="1"/>
  <c r="D148" i="1"/>
  <c r="D149" i="1"/>
  <c r="D150" i="1"/>
  <c r="D151" i="1"/>
  <c r="D153" i="1"/>
  <c r="D154" i="1"/>
  <c r="D155" i="1"/>
  <c r="D156" i="1"/>
  <c r="D157" i="1"/>
  <c r="D158" i="1"/>
  <c r="D159" i="1"/>
  <c r="D160" i="1"/>
  <c r="D161" i="1"/>
  <c r="D162" i="1"/>
  <c r="D163" i="1"/>
  <c r="D165" i="1"/>
  <c r="D166" i="1"/>
  <c r="D167" i="1"/>
  <c r="D168" i="1"/>
  <c r="D169" i="1"/>
  <c r="D170" i="1"/>
  <c r="D171" i="1"/>
  <c r="D172" i="1"/>
  <c r="D173" i="1"/>
  <c r="D174" i="1"/>
  <c r="D175" i="1"/>
  <c r="D177" i="1"/>
  <c r="D178" i="1"/>
  <c r="D179" i="1"/>
  <c r="D180" i="1"/>
  <c r="D181" i="1"/>
  <c r="D182" i="1"/>
  <c r="D183" i="1"/>
  <c r="D184" i="1"/>
  <c r="D185" i="1"/>
  <c r="D186" i="1"/>
  <c r="D187" i="1"/>
  <c r="D189" i="1"/>
  <c r="D190" i="1"/>
  <c r="D191" i="1"/>
  <c r="D192" i="1"/>
  <c r="D193" i="1"/>
  <c r="D194" i="1"/>
  <c r="D195" i="1"/>
  <c r="D196" i="1"/>
  <c r="D197" i="1"/>
  <c r="D198" i="1"/>
  <c r="D199" i="1"/>
  <c r="D201" i="1"/>
  <c r="D202" i="1"/>
  <c r="D203" i="1"/>
  <c r="D204" i="1"/>
  <c r="D205" i="1"/>
  <c r="D206" i="1"/>
  <c r="D207" i="1"/>
  <c r="D208" i="1"/>
  <c r="D209" i="1"/>
  <c r="D210" i="1"/>
  <c r="D211" i="1"/>
  <c r="D213" i="1"/>
  <c r="D214" i="1"/>
  <c r="D215" i="1"/>
  <c r="D216" i="1"/>
  <c r="D217" i="1"/>
  <c r="D218" i="1"/>
  <c r="D219" i="1"/>
  <c r="D220" i="1"/>
  <c r="D221" i="1"/>
  <c r="D222" i="1"/>
  <c r="D223" i="1"/>
  <c r="D225" i="1"/>
  <c r="D226" i="1"/>
  <c r="D227" i="1"/>
  <c r="D228" i="1"/>
  <c r="D229" i="1"/>
  <c r="D230" i="1"/>
  <c r="D231" i="1"/>
  <c r="D232" i="1"/>
  <c r="D233" i="1"/>
  <c r="D234" i="1"/>
  <c r="D235" i="1"/>
  <c r="D237" i="1"/>
  <c r="D238" i="1"/>
  <c r="D239" i="1"/>
  <c r="D240" i="1"/>
  <c r="D241" i="1"/>
  <c r="D242" i="1"/>
  <c r="D243" i="1"/>
  <c r="D244" i="1"/>
  <c r="D245" i="1"/>
  <c r="D246" i="1"/>
  <c r="D247" i="1"/>
  <c r="D249" i="1"/>
  <c r="D250" i="1"/>
  <c r="D251" i="1"/>
  <c r="D252" i="1"/>
  <c r="D253" i="1"/>
  <c r="D254" i="1"/>
  <c r="D255" i="1"/>
  <c r="D256" i="1"/>
  <c r="D257" i="1"/>
  <c r="D258" i="1"/>
  <c r="D259" i="1"/>
  <c r="D261" i="1"/>
  <c r="D262" i="1"/>
  <c r="D263" i="1"/>
  <c r="D264" i="1"/>
  <c r="D265" i="1"/>
  <c r="D266" i="1"/>
  <c r="D267" i="1"/>
  <c r="D268" i="1"/>
  <c r="D269" i="1"/>
  <c r="D270" i="1"/>
  <c r="D271" i="1"/>
  <c r="D273" i="1"/>
  <c r="D274" i="1"/>
  <c r="D275" i="1"/>
  <c r="D276" i="1"/>
  <c r="D277" i="1"/>
  <c r="D278" i="1"/>
  <c r="D279" i="1"/>
  <c r="D280" i="1"/>
  <c r="D281" i="1"/>
  <c r="D282" i="1"/>
  <c r="D283" i="1"/>
  <c r="D285" i="1"/>
  <c r="D286" i="1"/>
  <c r="D287" i="1"/>
  <c r="D288" i="1"/>
  <c r="D289" i="1"/>
  <c r="D290" i="1"/>
  <c r="D291" i="1"/>
  <c r="D292" i="1"/>
  <c r="D293" i="1"/>
  <c r="D294" i="1"/>
  <c r="D295" i="1"/>
  <c r="D297" i="1"/>
  <c r="D298" i="1"/>
  <c r="D299" i="1"/>
  <c r="D300" i="1"/>
  <c r="D301" i="1"/>
  <c r="D302" i="1"/>
  <c r="D303" i="1"/>
  <c r="D304" i="1"/>
  <c r="D305" i="1"/>
  <c r="D306" i="1"/>
  <c r="D307" i="1"/>
  <c r="D309" i="1"/>
  <c r="D310" i="1"/>
  <c r="D311" i="1"/>
  <c r="D312" i="1"/>
  <c r="D313" i="1"/>
  <c r="D314" i="1"/>
  <c r="D315" i="1"/>
  <c r="D316" i="1"/>
  <c r="D317" i="1"/>
  <c r="D318" i="1"/>
  <c r="D319" i="1"/>
  <c r="D321" i="1"/>
  <c r="D322" i="1"/>
  <c r="D323" i="1"/>
  <c r="D324" i="1"/>
  <c r="D325" i="1"/>
  <c r="D326" i="1"/>
  <c r="D327" i="1"/>
  <c r="D328" i="1"/>
  <c r="D329" i="1"/>
  <c r="D330" i="1"/>
  <c r="D331" i="1"/>
  <c r="D333" i="1"/>
  <c r="D334" i="1"/>
  <c r="D335" i="1"/>
  <c r="D336" i="1"/>
  <c r="D337" i="1"/>
  <c r="D338" i="1"/>
  <c r="D339" i="1"/>
  <c r="D340" i="1"/>
  <c r="D341" i="1"/>
  <c r="D342" i="1"/>
  <c r="D343" i="1"/>
  <c r="D345" i="1"/>
  <c r="D346" i="1"/>
  <c r="D347" i="1"/>
  <c r="D348" i="1"/>
  <c r="D349" i="1"/>
  <c r="D350" i="1"/>
  <c r="D351" i="1"/>
  <c r="D352" i="1"/>
  <c r="D353" i="1"/>
  <c r="D354" i="1"/>
  <c r="D355" i="1"/>
  <c r="D357" i="1"/>
  <c r="D358" i="1"/>
  <c r="D359" i="1"/>
  <c r="D360" i="1"/>
  <c r="D361" i="1"/>
  <c r="D362" i="1"/>
  <c r="D363" i="1"/>
  <c r="D364" i="1"/>
  <c r="D365" i="1"/>
  <c r="D366" i="1"/>
  <c r="D367" i="1"/>
  <c r="D369" i="1"/>
  <c r="D370" i="1"/>
  <c r="D371" i="1"/>
  <c r="D372" i="1"/>
  <c r="D373" i="1"/>
  <c r="D374" i="1"/>
  <c r="D375" i="1"/>
  <c r="D376" i="1"/>
  <c r="D377" i="1"/>
  <c r="D378" i="1"/>
  <c r="D379" i="1"/>
  <c r="D381" i="1"/>
  <c r="D382" i="1"/>
  <c r="D383" i="1"/>
  <c r="D384" i="1"/>
  <c r="D385" i="1"/>
  <c r="D386" i="1"/>
  <c r="D387" i="1"/>
  <c r="D388" i="1"/>
  <c r="D389" i="1"/>
  <c r="D390" i="1"/>
  <c r="D391" i="1"/>
  <c r="D393" i="1"/>
  <c r="D394" i="1"/>
  <c r="D395" i="1"/>
  <c r="D396" i="1"/>
  <c r="D397" i="1"/>
  <c r="D398" i="1"/>
  <c r="D399" i="1"/>
  <c r="D400" i="1"/>
  <c r="D401" i="1"/>
  <c r="D402" i="1"/>
  <c r="D403" i="1"/>
  <c r="D405" i="1"/>
  <c r="D406" i="1"/>
  <c r="D407" i="1"/>
  <c r="D408" i="1"/>
  <c r="D409" i="1"/>
  <c r="D410" i="1"/>
  <c r="D411" i="1"/>
  <c r="D412" i="1"/>
  <c r="D413" i="1"/>
  <c r="D414" i="1"/>
  <c r="D415" i="1"/>
  <c r="D417" i="1"/>
  <c r="D418" i="1"/>
  <c r="D419" i="1"/>
  <c r="D420" i="1"/>
  <c r="D421" i="1"/>
  <c r="D422" i="1"/>
  <c r="D423" i="1"/>
  <c r="D424" i="1"/>
  <c r="D425" i="1"/>
  <c r="D426" i="1"/>
  <c r="D427" i="1"/>
  <c r="D429" i="1"/>
  <c r="D430" i="1"/>
  <c r="D431" i="1"/>
  <c r="D432" i="1"/>
  <c r="D433" i="1"/>
  <c r="D434" i="1"/>
  <c r="D435" i="1"/>
  <c r="D436" i="1"/>
  <c r="D437" i="1"/>
  <c r="D438" i="1"/>
  <c r="D439" i="1"/>
  <c r="D441" i="1"/>
  <c r="D442" i="1"/>
  <c r="D443" i="1"/>
  <c r="D444" i="1"/>
  <c r="D445" i="1"/>
  <c r="D446" i="1"/>
  <c r="D447" i="1"/>
  <c r="D448" i="1"/>
  <c r="D449" i="1"/>
  <c r="D450" i="1"/>
  <c r="D451" i="1"/>
  <c r="D453" i="1"/>
  <c r="D454" i="1"/>
  <c r="D455" i="1"/>
  <c r="D456" i="1"/>
  <c r="D457" i="1"/>
  <c r="D458" i="1"/>
  <c r="D459" i="1"/>
  <c r="G1" i="6"/>
  <c r="E45" i="1"/>
  <c r="E46" i="1"/>
  <c r="E47" i="1"/>
  <c r="E48" i="1"/>
  <c r="E49" i="1"/>
  <c r="E50" i="1"/>
  <c r="E51" i="1"/>
  <c r="E52" i="1"/>
  <c r="E53" i="1"/>
  <c r="E54" i="1"/>
  <c r="E55" i="1"/>
  <c r="E57" i="1"/>
  <c r="E58" i="1"/>
  <c r="E59" i="1"/>
  <c r="E60" i="1"/>
  <c r="E61" i="1"/>
  <c r="E62" i="1"/>
  <c r="E63" i="1"/>
  <c r="E64" i="1"/>
  <c r="E65" i="1"/>
  <c r="E66" i="1"/>
  <c r="E67" i="1"/>
  <c r="E69" i="1"/>
  <c r="E70" i="1"/>
  <c r="E71" i="1"/>
  <c r="E72" i="1"/>
  <c r="E73" i="1"/>
  <c r="E74" i="1"/>
  <c r="E75" i="1"/>
  <c r="E76" i="1"/>
  <c r="E77" i="1"/>
  <c r="E78" i="1"/>
  <c r="E79" i="1"/>
  <c r="E81" i="1"/>
  <c r="E82" i="1"/>
  <c r="E83" i="1"/>
  <c r="E84" i="1"/>
  <c r="E85" i="1"/>
  <c r="E86" i="1"/>
  <c r="E87" i="1"/>
  <c r="E88" i="1"/>
  <c r="E89" i="1"/>
  <c r="E90" i="1"/>
  <c r="E91" i="1"/>
  <c r="E93" i="1"/>
  <c r="E94" i="1"/>
  <c r="E95" i="1"/>
  <c r="E96" i="1"/>
  <c r="E97" i="1"/>
  <c r="E98" i="1"/>
  <c r="E99" i="1"/>
  <c r="E100" i="1"/>
  <c r="E101" i="1"/>
  <c r="E102" i="1"/>
  <c r="E103" i="1"/>
  <c r="E105" i="1"/>
  <c r="E106" i="1"/>
  <c r="E107" i="1"/>
  <c r="E108" i="1"/>
  <c r="E109" i="1"/>
  <c r="E110" i="1"/>
  <c r="E111" i="1"/>
  <c r="E112" i="1"/>
  <c r="E113" i="1"/>
  <c r="E114" i="1"/>
  <c r="E115" i="1"/>
  <c r="E117" i="1"/>
  <c r="E118" i="1"/>
  <c r="E119" i="1"/>
  <c r="E120" i="1"/>
  <c r="E121" i="1"/>
  <c r="E122" i="1"/>
  <c r="E123" i="1"/>
  <c r="E124" i="1"/>
  <c r="E125" i="1"/>
  <c r="E126" i="1"/>
  <c r="E127" i="1"/>
  <c r="E129" i="1"/>
  <c r="E130" i="1"/>
  <c r="E131" i="1"/>
  <c r="E132" i="1"/>
  <c r="E133" i="1"/>
  <c r="E134" i="1"/>
  <c r="E135" i="1"/>
  <c r="E136" i="1"/>
  <c r="E137" i="1"/>
  <c r="E138" i="1"/>
  <c r="E139" i="1"/>
  <c r="E141" i="1"/>
  <c r="E142" i="1"/>
  <c r="E143" i="1"/>
  <c r="E144" i="1"/>
  <c r="E145" i="1"/>
  <c r="E146" i="1"/>
  <c r="E147" i="1"/>
  <c r="E148" i="1"/>
  <c r="E149" i="1"/>
  <c r="E150" i="1"/>
  <c r="E151" i="1"/>
  <c r="E153" i="1"/>
  <c r="E154" i="1"/>
  <c r="E155" i="1"/>
  <c r="E156" i="1"/>
  <c r="E157" i="1"/>
  <c r="E158" i="1"/>
  <c r="E159" i="1"/>
  <c r="E160" i="1"/>
  <c r="E161" i="1"/>
  <c r="E162" i="1"/>
  <c r="E163" i="1"/>
  <c r="E165" i="1"/>
  <c r="E166" i="1"/>
  <c r="E167" i="1"/>
  <c r="E168" i="1"/>
  <c r="E169" i="1"/>
  <c r="E170" i="1"/>
  <c r="E171" i="1"/>
  <c r="E172" i="1"/>
  <c r="E173" i="1"/>
  <c r="E174" i="1"/>
  <c r="E175" i="1"/>
  <c r="E177" i="1"/>
  <c r="E178" i="1"/>
  <c r="E179" i="1"/>
  <c r="E180" i="1"/>
  <c r="E181" i="1"/>
  <c r="E182" i="1"/>
  <c r="E183" i="1"/>
  <c r="E184" i="1"/>
  <c r="E185" i="1"/>
  <c r="E186" i="1"/>
  <c r="E187" i="1"/>
  <c r="E189" i="1"/>
  <c r="E190" i="1"/>
  <c r="E191" i="1"/>
  <c r="E192" i="1"/>
  <c r="E193" i="1"/>
  <c r="E194" i="1"/>
  <c r="E195" i="1"/>
  <c r="E196" i="1"/>
  <c r="E197" i="1"/>
  <c r="E198" i="1"/>
  <c r="E199" i="1"/>
  <c r="E201" i="1"/>
  <c r="E202" i="1"/>
  <c r="E203" i="1"/>
  <c r="E204" i="1"/>
  <c r="E205" i="1"/>
  <c r="E206" i="1"/>
  <c r="E207" i="1"/>
  <c r="E208" i="1"/>
  <c r="E209" i="1"/>
  <c r="E210" i="1"/>
  <c r="E211" i="1"/>
  <c r="E213" i="1"/>
  <c r="E214" i="1"/>
  <c r="E215" i="1"/>
  <c r="E216" i="1"/>
  <c r="E217" i="1"/>
  <c r="E218" i="1"/>
  <c r="E219" i="1"/>
  <c r="E220" i="1"/>
  <c r="E221" i="1"/>
  <c r="E222" i="1"/>
  <c r="E223" i="1"/>
  <c r="E225" i="1"/>
  <c r="E226" i="1"/>
  <c r="E227" i="1"/>
  <c r="E228" i="1"/>
  <c r="E229" i="1"/>
  <c r="E230" i="1"/>
  <c r="E231" i="1"/>
  <c r="E232" i="1"/>
  <c r="E233" i="1"/>
  <c r="E234" i="1"/>
  <c r="E235" i="1"/>
  <c r="E237" i="1"/>
  <c r="E238" i="1"/>
  <c r="E239" i="1"/>
  <c r="E240" i="1"/>
  <c r="E241" i="1"/>
  <c r="E242" i="1"/>
  <c r="E243" i="1"/>
  <c r="E244" i="1"/>
  <c r="E245" i="1"/>
  <c r="E246" i="1"/>
  <c r="E247" i="1"/>
  <c r="E249" i="1"/>
  <c r="E250" i="1"/>
  <c r="E251" i="1"/>
  <c r="E252" i="1"/>
  <c r="E253" i="1"/>
  <c r="E254" i="1"/>
  <c r="E255" i="1"/>
  <c r="E256" i="1"/>
  <c r="E257" i="1"/>
  <c r="E258" i="1"/>
  <c r="E259" i="1"/>
  <c r="E261" i="1"/>
  <c r="E262" i="1"/>
  <c r="E263" i="1"/>
  <c r="E264" i="1"/>
  <c r="E265" i="1"/>
  <c r="E266" i="1"/>
  <c r="E267" i="1"/>
  <c r="E268" i="1"/>
  <c r="E269" i="1"/>
  <c r="E270" i="1"/>
  <c r="E271" i="1"/>
  <c r="E273" i="1"/>
  <c r="E274" i="1"/>
  <c r="E275" i="1"/>
  <c r="E276" i="1"/>
  <c r="E277" i="1"/>
  <c r="E278" i="1"/>
  <c r="E279" i="1"/>
  <c r="E280" i="1"/>
  <c r="E281" i="1"/>
  <c r="E282" i="1"/>
  <c r="E283" i="1"/>
  <c r="E285" i="1"/>
  <c r="E286" i="1"/>
  <c r="E287" i="1"/>
  <c r="E288" i="1"/>
  <c r="E289" i="1"/>
  <c r="E290" i="1"/>
  <c r="E291" i="1"/>
  <c r="E292" i="1"/>
  <c r="E293" i="1"/>
  <c r="E294" i="1"/>
  <c r="E295" i="1"/>
  <c r="E297" i="1"/>
  <c r="E298" i="1"/>
  <c r="E299" i="1"/>
  <c r="E300" i="1"/>
  <c r="E301" i="1"/>
  <c r="E302" i="1"/>
  <c r="E303" i="1"/>
  <c r="E304" i="1"/>
  <c r="E305" i="1"/>
  <c r="E306" i="1"/>
  <c r="E307" i="1"/>
  <c r="E309" i="1"/>
  <c r="E310" i="1"/>
  <c r="E311" i="1"/>
  <c r="E312" i="1"/>
  <c r="E313" i="1"/>
  <c r="E314" i="1"/>
  <c r="E315" i="1"/>
  <c r="E316" i="1"/>
  <c r="E317" i="1"/>
  <c r="E318" i="1"/>
  <c r="E319" i="1"/>
  <c r="E321" i="1"/>
  <c r="E322" i="1"/>
  <c r="E323" i="1"/>
  <c r="E324" i="1"/>
  <c r="E325" i="1"/>
  <c r="E326" i="1"/>
  <c r="E327" i="1"/>
  <c r="E328" i="1"/>
  <c r="E329" i="1"/>
  <c r="E330" i="1"/>
  <c r="E331" i="1"/>
  <c r="E333" i="1"/>
  <c r="E334" i="1"/>
  <c r="E335" i="1"/>
  <c r="E336" i="1"/>
  <c r="E337" i="1"/>
  <c r="E338" i="1"/>
  <c r="E339" i="1"/>
  <c r="E340" i="1"/>
  <c r="E341" i="1"/>
  <c r="E342" i="1"/>
  <c r="E343" i="1"/>
  <c r="E345" i="1"/>
  <c r="E346" i="1"/>
  <c r="E347" i="1"/>
  <c r="E348" i="1"/>
  <c r="E349" i="1"/>
  <c r="E350" i="1"/>
  <c r="E351" i="1"/>
  <c r="E352" i="1"/>
  <c r="E353" i="1"/>
  <c r="E354" i="1"/>
  <c r="E355" i="1"/>
  <c r="E357" i="1"/>
  <c r="E358" i="1"/>
  <c r="E359" i="1"/>
  <c r="E360" i="1"/>
  <c r="E361" i="1"/>
  <c r="E362" i="1"/>
  <c r="E363" i="1"/>
  <c r="E364" i="1"/>
  <c r="E365" i="1"/>
  <c r="E366" i="1"/>
  <c r="E367" i="1"/>
  <c r="E369" i="1"/>
  <c r="E370" i="1"/>
  <c r="E371" i="1"/>
  <c r="E372" i="1"/>
  <c r="E373" i="1"/>
  <c r="E374" i="1"/>
  <c r="E375" i="1"/>
  <c r="E376" i="1"/>
  <c r="E377" i="1"/>
  <c r="E378" i="1"/>
  <c r="E379" i="1"/>
  <c r="E381" i="1"/>
  <c r="E382" i="1"/>
  <c r="E383" i="1"/>
  <c r="E384" i="1"/>
  <c r="E385" i="1"/>
  <c r="E386" i="1"/>
  <c r="E387" i="1"/>
  <c r="E388" i="1"/>
  <c r="E389" i="1"/>
  <c r="E390" i="1"/>
  <c r="E391" i="1"/>
  <c r="E393" i="1"/>
  <c r="E394" i="1"/>
  <c r="E395" i="1"/>
  <c r="E396" i="1"/>
  <c r="E397" i="1"/>
  <c r="E398" i="1"/>
  <c r="E399" i="1"/>
  <c r="E400" i="1"/>
  <c r="E401" i="1"/>
  <c r="E402" i="1"/>
  <c r="E403" i="1"/>
  <c r="E405" i="1"/>
  <c r="E406" i="1"/>
  <c r="E407" i="1"/>
  <c r="E408" i="1"/>
  <c r="E409" i="1"/>
  <c r="E410" i="1"/>
  <c r="E411" i="1"/>
  <c r="E412" i="1"/>
  <c r="E413" i="1"/>
  <c r="E414" i="1"/>
  <c r="E415" i="1"/>
  <c r="E417" i="1"/>
  <c r="E418" i="1"/>
  <c r="E419" i="1"/>
  <c r="E420" i="1"/>
  <c r="E421" i="1"/>
  <c r="E422" i="1"/>
  <c r="E423" i="1"/>
  <c r="E424" i="1"/>
  <c r="E425" i="1"/>
  <c r="E426" i="1"/>
  <c r="E427" i="1"/>
  <c r="E429" i="1"/>
  <c r="E430" i="1"/>
  <c r="E431" i="1"/>
  <c r="E432" i="1"/>
  <c r="E433" i="1"/>
  <c r="E434" i="1"/>
  <c r="E435" i="1"/>
  <c r="E436" i="1"/>
  <c r="E437" i="1"/>
  <c r="E438" i="1"/>
  <c r="E439" i="1"/>
  <c r="E441" i="1"/>
  <c r="E442" i="1"/>
  <c r="E443" i="1"/>
  <c r="E444" i="1"/>
  <c r="E445" i="1"/>
  <c r="E446" i="1"/>
  <c r="E447" i="1"/>
  <c r="E448" i="1"/>
  <c r="E449" i="1"/>
  <c r="E450" i="1"/>
  <c r="E451" i="1"/>
  <c r="E453" i="1"/>
  <c r="E454" i="1"/>
  <c r="E455" i="1"/>
  <c r="E456" i="1"/>
  <c r="E457" i="1"/>
  <c r="E458" i="1"/>
  <c r="E459" i="1"/>
  <c r="E41" i="1"/>
  <c r="E42" i="1"/>
  <c r="E43" i="1"/>
  <c r="C6" i="1"/>
  <c r="F6" i="1"/>
  <c r="Q2" i="6"/>
  <c r="A2" i="6"/>
  <c r="F2"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C2" i="6"/>
  <c r="D2" i="6"/>
  <c r="E2" i="6"/>
  <c r="B2"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E4"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S1" i="5"/>
  <c r="T1" i="5"/>
  <c r="R1" i="5"/>
  <c r="B19" i="5"/>
  <c r="E19" i="5"/>
  <c r="C4" i="5"/>
  <c r="D4" i="5"/>
  <c r="C5" i="5"/>
  <c r="D5" i="5"/>
  <c r="C6" i="5"/>
  <c r="D6" i="5"/>
  <c r="C7" i="5"/>
  <c r="D7" i="5"/>
  <c r="C8" i="5"/>
  <c r="D8" i="5"/>
  <c r="C9" i="5"/>
  <c r="D9" i="5"/>
  <c r="C10" i="5"/>
  <c r="D10" i="5"/>
  <c r="C11" i="5"/>
  <c r="D11" i="5"/>
  <c r="C12" i="5"/>
  <c r="D12" i="5"/>
  <c r="C13" i="5"/>
  <c r="D13" i="5"/>
  <c r="C14" i="5"/>
  <c r="D14" i="5"/>
  <c r="C15" i="5"/>
  <c r="D15" i="5"/>
  <c r="C16" i="5"/>
  <c r="D16" i="5"/>
  <c r="C17" i="5"/>
  <c r="D17" i="5"/>
  <c r="C18" i="5"/>
  <c r="D18" i="5"/>
  <c r="C19" i="5"/>
  <c r="D19" i="5"/>
  <c r="C20" i="5"/>
  <c r="D20" i="5"/>
  <c r="C21" i="5"/>
  <c r="D21" i="5"/>
  <c r="C22" i="5"/>
  <c r="D22" i="5"/>
  <c r="C23" i="5"/>
  <c r="D23" i="5"/>
  <c r="C24" i="5"/>
  <c r="D24" i="5"/>
  <c r="C25" i="5"/>
  <c r="D25" i="5"/>
  <c r="C26" i="5"/>
  <c r="D26" i="5"/>
  <c r="C27" i="5"/>
  <c r="D27" i="5"/>
  <c r="D3" i="5"/>
  <c r="C3" i="5"/>
  <c r="B25" i="5"/>
  <c r="B26" i="5"/>
  <c r="B27" i="5"/>
  <c r="I27" i="5"/>
  <c r="O27" i="5"/>
  <c r="Y27" i="5"/>
  <c r="B4" i="5"/>
  <c r="B5" i="5"/>
  <c r="B6" i="5"/>
  <c r="H6" i="5"/>
  <c r="B7" i="5"/>
  <c r="E7" i="5"/>
  <c r="B8" i="5"/>
  <c r="B9" i="5"/>
  <c r="B10" i="5"/>
  <c r="B11" i="5"/>
  <c r="I11" i="5"/>
  <c r="O11" i="5"/>
  <c r="Y11" i="5"/>
  <c r="B12" i="5"/>
  <c r="F12" i="5"/>
  <c r="L12" i="5"/>
  <c r="V12" i="5"/>
  <c r="B13" i="5"/>
  <c r="B14" i="5"/>
  <c r="H14" i="5"/>
  <c r="B15" i="5"/>
  <c r="B16" i="5"/>
  <c r="J16" i="5"/>
  <c r="P16" i="5"/>
  <c r="B17" i="5"/>
  <c r="B18" i="5"/>
  <c r="H18" i="5"/>
  <c r="N18" i="5"/>
  <c r="X18" i="5"/>
  <c r="B20" i="5"/>
  <c r="B21" i="5"/>
  <c r="B22" i="5"/>
  <c r="H22" i="5"/>
  <c r="B23" i="5"/>
  <c r="E23" i="5"/>
  <c r="B24" i="5"/>
  <c r="H10" i="1"/>
  <c r="H11" i="1"/>
  <c r="H12" i="1"/>
  <c r="H13" i="1"/>
  <c r="H14" i="1"/>
  <c r="H15" i="1"/>
  <c r="H16" i="1"/>
  <c r="H17" i="1"/>
  <c r="H18" i="1"/>
  <c r="H19" i="1"/>
  <c r="H20" i="1"/>
  <c r="H21" i="1"/>
  <c r="H9" i="1"/>
  <c r="F459" i="1"/>
  <c r="F457" i="1"/>
  <c r="F456" i="1"/>
  <c r="F455" i="1"/>
  <c r="F454" i="1"/>
  <c r="F453" i="1"/>
  <c r="F450" i="1"/>
  <c r="F449" i="1"/>
  <c r="F448" i="1"/>
  <c r="F446" i="1"/>
  <c r="F445" i="1"/>
  <c r="F444" i="1"/>
  <c r="F442" i="1"/>
  <c r="F441" i="1"/>
  <c r="F439" i="1"/>
  <c r="F438" i="1"/>
  <c r="F436" i="1"/>
  <c r="F434" i="1"/>
  <c r="F432" i="1"/>
  <c r="F430" i="1"/>
  <c r="F429" i="1"/>
  <c r="F426" i="1"/>
  <c r="F425" i="1"/>
  <c r="F424" i="1"/>
  <c r="F421" i="1"/>
  <c r="F420" i="1"/>
  <c r="F417" i="1"/>
  <c r="F414" i="1"/>
  <c r="F412" i="1"/>
  <c r="F411" i="1"/>
  <c r="F410" i="1"/>
  <c r="F408" i="1"/>
  <c r="F406" i="1"/>
  <c r="F405" i="1"/>
  <c r="F403" i="1"/>
  <c r="F402" i="1"/>
  <c r="F399" i="1"/>
  <c r="F394" i="1"/>
  <c r="F391" i="1"/>
  <c r="F390" i="1"/>
  <c r="F389" i="1"/>
  <c r="F387" i="1"/>
  <c r="F386" i="1"/>
  <c r="F385" i="1"/>
  <c r="F384" i="1"/>
  <c r="F382" i="1"/>
  <c r="F381" i="1"/>
  <c r="F379" i="1"/>
  <c r="F377" i="1"/>
  <c r="F375" i="1"/>
  <c r="F373" i="1"/>
  <c r="F371" i="1"/>
  <c r="F369" i="1"/>
  <c r="F367" i="1"/>
  <c r="F366" i="1"/>
  <c r="F365" i="1"/>
  <c r="F363" i="1"/>
  <c r="F361" i="1"/>
  <c r="F360" i="1"/>
  <c r="F359" i="1"/>
  <c r="F358" i="1"/>
  <c r="F357" i="1"/>
  <c r="F355" i="1"/>
  <c r="F354" i="1"/>
  <c r="F352" i="1"/>
  <c r="F351" i="1"/>
  <c r="F350" i="1"/>
  <c r="F348" i="1"/>
  <c r="F347" i="1"/>
  <c r="F346" i="1"/>
  <c r="F345" i="1"/>
  <c r="F343" i="1"/>
  <c r="F342" i="1"/>
  <c r="F341" i="1"/>
  <c r="F340" i="1"/>
  <c r="F338" i="1"/>
  <c r="F337" i="1"/>
  <c r="F336" i="1"/>
  <c r="F334" i="1"/>
  <c r="F333" i="1"/>
  <c r="F331" i="1"/>
  <c r="F330" i="1"/>
  <c r="F329" i="1"/>
  <c r="F328" i="1"/>
  <c r="F327" i="1"/>
  <c r="F326" i="1"/>
  <c r="F324" i="1"/>
  <c r="F323" i="1"/>
  <c r="F322" i="1"/>
  <c r="F321" i="1"/>
  <c r="F318" i="1"/>
  <c r="F317" i="1"/>
  <c r="F316" i="1"/>
  <c r="F315" i="1"/>
  <c r="F314" i="1"/>
  <c r="F312" i="1"/>
  <c r="F310" i="1"/>
  <c r="F309" i="1"/>
  <c r="F307" i="1"/>
  <c r="F305" i="1"/>
  <c r="F303" i="1"/>
  <c r="F301" i="1"/>
  <c r="F299" i="1"/>
  <c r="F297" i="1"/>
  <c r="F295" i="1"/>
  <c r="F294" i="1"/>
  <c r="F293" i="1"/>
  <c r="F291" i="1"/>
  <c r="F290" i="1"/>
  <c r="F289" i="1"/>
  <c r="F288" i="1"/>
  <c r="F287" i="1"/>
  <c r="F286" i="1"/>
  <c r="F285" i="1"/>
  <c r="F282" i="1"/>
  <c r="F280" i="1"/>
  <c r="F278" i="1"/>
  <c r="F276" i="1"/>
  <c r="F274" i="1"/>
  <c r="F271" i="1"/>
  <c r="F270" i="1"/>
  <c r="F269" i="1"/>
  <c r="F268" i="1"/>
  <c r="B267" i="1"/>
  <c r="B279" i="1"/>
  <c r="B291" i="1"/>
  <c r="B303" i="1"/>
  <c r="B315" i="1"/>
  <c r="B327" i="1"/>
  <c r="B339" i="1"/>
  <c r="B351" i="1"/>
  <c r="B363" i="1"/>
  <c r="B375" i="1"/>
  <c r="B387" i="1"/>
  <c r="B399" i="1"/>
  <c r="B411" i="1"/>
  <c r="B423" i="1"/>
  <c r="B435" i="1"/>
  <c r="B447" i="1"/>
  <c r="B459" i="1"/>
  <c r="F266" i="1"/>
  <c r="B266" i="1"/>
  <c r="B278" i="1"/>
  <c r="B290" i="1"/>
  <c r="B302" i="1"/>
  <c r="B314" i="1"/>
  <c r="B326" i="1"/>
  <c r="B338" i="1"/>
  <c r="B350" i="1"/>
  <c r="B362" i="1"/>
  <c r="B374" i="1"/>
  <c r="B386" i="1"/>
  <c r="B398" i="1"/>
  <c r="B410" i="1"/>
  <c r="B422" i="1"/>
  <c r="B434" i="1"/>
  <c r="B446" i="1"/>
  <c r="B458" i="1"/>
  <c r="F265" i="1"/>
  <c r="B265" i="1"/>
  <c r="B277" i="1"/>
  <c r="B289" i="1"/>
  <c r="B301" i="1"/>
  <c r="B313" i="1"/>
  <c r="B325" i="1"/>
  <c r="B337" i="1"/>
  <c r="B349" i="1"/>
  <c r="B361" i="1"/>
  <c r="B373" i="1"/>
  <c r="B385" i="1"/>
  <c r="B397" i="1"/>
  <c r="B409" i="1"/>
  <c r="B421" i="1"/>
  <c r="B433" i="1"/>
  <c r="B445" i="1"/>
  <c r="B457" i="1"/>
  <c r="F264" i="1"/>
  <c r="B264" i="1"/>
  <c r="B276" i="1"/>
  <c r="B288" i="1"/>
  <c r="B300" i="1"/>
  <c r="B312" i="1"/>
  <c r="B324" i="1"/>
  <c r="B336" i="1"/>
  <c r="B348" i="1"/>
  <c r="B360" i="1"/>
  <c r="B372" i="1"/>
  <c r="B384" i="1"/>
  <c r="B396" i="1"/>
  <c r="B408" i="1"/>
  <c r="B420" i="1"/>
  <c r="B432" i="1"/>
  <c r="B444" i="1"/>
  <c r="B456" i="1"/>
  <c r="B263" i="1"/>
  <c r="B275" i="1"/>
  <c r="B287" i="1"/>
  <c r="B299" i="1"/>
  <c r="B311" i="1"/>
  <c r="B323" i="1"/>
  <c r="B335" i="1"/>
  <c r="B347" i="1"/>
  <c r="B359" i="1"/>
  <c r="B371" i="1"/>
  <c r="B383" i="1"/>
  <c r="B395" i="1"/>
  <c r="B407" i="1"/>
  <c r="B419" i="1"/>
  <c r="B431" i="1"/>
  <c r="B443" i="1"/>
  <c r="B455" i="1"/>
  <c r="F262" i="1"/>
  <c r="B262" i="1"/>
  <c r="B274" i="1"/>
  <c r="B286" i="1"/>
  <c r="B298" i="1"/>
  <c r="B310" i="1"/>
  <c r="B322" i="1"/>
  <c r="B334" i="1"/>
  <c r="B346" i="1"/>
  <c r="B358" i="1"/>
  <c r="B370" i="1"/>
  <c r="B382" i="1"/>
  <c r="B394" i="1"/>
  <c r="B406" i="1"/>
  <c r="B418" i="1"/>
  <c r="B430" i="1"/>
  <c r="B442" i="1"/>
  <c r="B454" i="1"/>
  <c r="F261" i="1"/>
  <c r="B261" i="1"/>
  <c r="B273" i="1"/>
  <c r="B285" i="1"/>
  <c r="B297" i="1"/>
  <c r="B309" i="1"/>
  <c r="B321" i="1"/>
  <c r="B333" i="1"/>
  <c r="B345" i="1"/>
  <c r="B357" i="1"/>
  <c r="B369" i="1"/>
  <c r="B381" i="1"/>
  <c r="B393" i="1"/>
  <c r="B405" i="1"/>
  <c r="B417" i="1"/>
  <c r="B429" i="1"/>
  <c r="B441" i="1"/>
  <c r="B453" i="1"/>
  <c r="B260" i="1"/>
  <c r="B272" i="1"/>
  <c r="B284" i="1"/>
  <c r="B296" i="1"/>
  <c r="B308" i="1"/>
  <c r="B320" i="1"/>
  <c r="B332" i="1"/>
  <c r="B344" i="1"/>
  <c r="B356" i="1"/>
  <c r="B368" i="1"/>
  <c r="B380" i="1"/>
  <c r="B392" i="1"/>
  <c r="B404" i="1"/>
  <c r="B416" i="1"/>
  <c r="B428" i="1"/>
  <c r="B440" i="1"/>
  <c r="B452" i="1"/>
  <c r="A260" i="1"/>
  <c r="B259" i="1"/>
  <c r="B271" i="1"/>
  <c r="B283" i="1"/>
  <c r="B295" i="1"/>
  <c r="B307" i="1"/>
  <c r="B319" i="1"/>
  <c r="B331" i="1"/>
  <c r="B343" i="1"/>
  <c r="B355" i="1"/>
  <c r="B367" i="1"/>
  <c r="B379" i="1"/>
  <c r="B391" i="1"/>
  <c r="B403" i="1"/>
  <c r="B415" i="1"/>
  <c r="B427" i="1"/>
  <c r="B439" i="1"/>
  <c r="B451" i="1"/>
  <c r="F258" i="1"/>
  <c r="B258" i="1"/>
  <c r="B270" i="1"/>
  <c r="B282" i="1"/>
  <c r="B294" i="1"/>
  <c r="B306" i="1"/>
  <c r="B318" i="1"/>
  <c r="B330" i="1"/>
  <c r="B342" i="1"/>
  <c r="B354" i="1"/>
  <c r="B366" i="1"/>
  <c r="B378" i="1"/>
  <c r="B390" i="1"/>
  <c r="B402" i="1"/>
  <c r="B414" i="1"/>
  <c r="B426" i="1"/>
  <c r="B438" i="1"/>
  <c r="B450" i="1"/>
  <c r="B257" i="1"/>
  <c r="B269" i="1"/>
  <c r="B281" i="1"/>
  <c r="B293" i="1"/>
  <c r="B305" i="1"/>
  <c r="B317" i="1"/>
  <c r="B329" i="1"/>
  <c r="B341" i="1"/>
  <c r="B353" i="1"/>
  <c r="B365" i="1"/>
  <c r="B377" i="1"/>
  <c r="B389" i="1"/>
  <c r="B401" i="1"/>
  <c r="B413" i="1"/>
  <c r="B425" i="1"/>
  <c r="B437" i="1"/>
  <c r="B449" i="1"/>
  <c r="F256" i="1"/>
  <c r="B256" i="1"/>
  <c r="B268" i="1"/>
  <c r="B280" i="1"/>
  <c r="B292" i="1"/>
  <c r="B304" i="1"/>
  <c r="B316" i="1"/>
  <c r="B328" i="1"/>
  <c r="B340" i="1"/>
  <c r="B352" i="1"/>
  <c r="B364" i="1"/>
  <c r="B376" i="1"/>
  <c r="B388" i="1"/>
  <c r="B400" i="1"/>
  <c r="B412" i="1"/>
  <c r="B424" i="1"/>
  <c r="B436" i="1"/>
  <c r="B448" i="1"/>
  <c r="F254" i="1"/>
  <c r="F253" i="1"/>
  <c r="F252" i="1"/>
  <c r="F250" i="1"/>
  <c r="F249" i="1"/>
  <c r="F246" i="1"/>
  <c r="F245" i="1"/>
  <c r="F242" i="1"/>
  <c r="F241" i="1"/>
  <c r="F238" i="1"/>
  <c r="F237" i="1"/>
  <c r="F234" i="1"/>
  <c r="F233" i="1"/>
  <c r="F230" i="1"/>
  <c r="F229" i="1"/>
  <c r="F226" i="1"/>
  <c r="F225" i="1"/>
  <c r="F222" i="1"/>
  <c r="F221" i="1"/>
  <c r="F218" i="1"/>
  <c r="F217" i="1"/>
  <c r="F214" i="1"/>
  <c r="F213" i="1"/>
  <c r="F210" i="1"/>
  <c r="F209" i="1"/>
  <c r="F206" i="1"/>
  <c r="F205" i="1"/>
  <c r="F202" i="1"/>
  <c r="F201" i="1"/>
  <c r="F199" i="1"/>
  <c r="F198" i="1"/>
  <c r="F196" i="1"/>
  <c r="F195" i="1"/>
  <c r="F194" i="1"/>
  <c r="F193" i="1"/>
  <c r="F192" i="1"/>
  <c r="F191" i="1"/>
  <c r="F190" i="1"/>
  <c r="F187" i="1"/>
  <c r="F186" i="1"/>
  <c r="F185" i="1"/>
  <c r="F184" i="1"/>
  <c r="F183" i="1"/>
  <c r="F182" i="1"/>
  <c r="F180" i="1"/>
  <c r="F179" i="1"/>
  <c r="F178" i="1"/>
  <c r="F177" i="1"/>
  <c r="F175" i="1"/>
  <c r="F174" i="1"/>
  <c r="F172" i="1"/>
  <c r="F171" i="1"/>
  <c r="F170" i="1"/>
  <c r="F169" i="1"/>
  <c r="F168" i="1"/>
  <c r="F167" i="1"/>
  <c r="F166" i="1"/>
  <c r="F165" i="1"/>
  <c r="F162" i="1"/>
  <c r="F161" i="1"/>
  <c r="F159" i="1"/>
  <c r="F157" i="1"/>
  <c r="F156" i="1"/>
  <c r="F155" i="1"/>
  <c r="F154" i="1"/>
  <c r="F153" i="1"/>
  <c r="F149" i="1"/>
  <c r="F148" i="1"/>
  <c r="F147" i="1"/>
  <c r="F146" i="1"/>
  <c r="F144" i="1"/>
  <c r="F143" i="1"/>
  <c r="F142" i="1"/>
  <c r="F139" i="1"/>
  <c r="F138" i="1"/>
  <c r="F136" i="1"/>
  <c r="F135" i="1"/>
  <c r="F134" i="1"/>
  <c r="F132" i="1"/>
  <c r="F131" i="1"/>
  <c r="F130" i="1"/>
  <c r="F126" i="1"/>
  <c r="F125" i="1"/>
  <c r="F124" i="1"/>
  <c r="F121" i="1"/>
  <c r="F120" i="1"/>
  <c r="F118" i="1"/>
  <c r="F117" i="1"/>
  <c r="F113" i="1"/>
  <c r="F112" i="1"/>
  <c r="F110" i="1"/>
  <c r="F109" i="1"/>
  <c r="F108" i="1"/>
  <c r="F105" i="1"/>
  <c r="F101" i="1"/>
  <c r="F100" i="1"/>
  <c r="F98" i="1"/>
  <c r="F97" i="1"/>
  <c r="F96" i="1"/>
  <c r="F93" i="1"/>
  <c r="F90" i="1"/>
  <c r="F89" i="1"/>
  <c r="F88" i="1"/>
  <c r="F86" i="1"/>
  <c r="F85" i="1"/>
  <c r="F84" i="1"/>
  <c r="F82" i="1"/>
  <c r="F81" i="1"/>
  <c r="F78" i="1"/>
  <c r="F77" i="1"/>
  <c r="F76" i="1"/>
  <c r="F74" i="1"/>
  <c r="F73" i="1"/>
  <c r="F72" i="1"/>
  <c r="F70" i="1"/>
  <c r="F69" i="1"/>
  <c r="F65" i="1"/>
  <c r="F64" i="1"/>
  <c r="F61" i="1"/>
  <c r="F60" i="1"/>
  <c r="F58" i="1"/>
  <c r="F57" i="1"/>
  <c r="F53" i="1"/>
  <c r="F52" i="1"/>
  <c r="F49" i="1"/>
  <c r="F48" i="1"/>
  <c r="F46" i="1"/>
  <c r="F45" i="1"/>
  <c r="F41" i="1"/>
  <c r="G17" i="1"/>
  <c r="G13" i="1"/>
  <c r="I7" i="5"/>
  <c r="O7" i="5"/>
  <c r="Y7" i="5"/>
  <c r="I23" i="5"/>
  <c r="O23" i="5"/>
  <c r="Y23" i="5"/>
  <c r="R23" i="5"/>
  <c r="D24" i="3"/>
  <c r="S23" i="5"/>
  <c r="T23" i="5"/>
  <c r="R7" i="5"/>
  <c r="S7" i="5"/>
  <c r="T7" i="5"/>
  <c r="H3" i="5"/>
  <c r="N3" i="5"/>
  <c r="X3" i="5"/>
  <c r="E3" i="5"/>
  <c r="I3" i="5"/>
  <c r="J3" i="5"/>
  <c r="H21" i="5"/>
  <c r="N21" i="5"/>
  <c r="X21" i="5"/>
  <c r="E21" i="5"/>
  <c r="I21" i="5"/>
  <c r="O21" i="5"/>
  <c r="Y21" i="5"/>
  <c r="F21" i="5"/>
  <c r="L21" i="5"/>
  <c r="V21" i="5"/>
  <c r="J21" i="5"/>
  <c r="P21" i="5"/>
  <c r="H17" i="5"/>
  <c r="E17" i="5"/>
  <c r="I17" i="5"/>
  <c r="O17" i="5"/>
  <c r="Y17" i="5"/>
  <c r="F17" i="5"/>
  <c r="L17" i="5"/>
  <c r="V17" i="5"/>
  <c r="J17" i="5"/>
  <c r="P17" i="5"/>
  <c r="H13" i="5"/>
  <c r="N13" i="5"/>
  <c r="X13" i="5"/>
  <c r="E13" i="5"/>
  <c r="I13" i="5"/>
  <c r="O13" i="5"/>
  <c r="Y13" i="5"/>
  <c r="F13" i="5"/>
  <c r="L13" i="5"/>
  <c r="V13" i="5"/>
  <c r="J13" i="5"/>
  <c r="P13" i="5"/>
  <c r="H9" i="5"/>
  <c r="N9" i="5"/>
  <c r="X9" i="5"/>
  <c r="E9" i="5"/>
  <c r="I9" i="5"/>
  <c r="O9" i="5"/>
  <c r="Y9" i="5"/>
  <c r="F9" i="5"/>
  <c r="L9" i="5"/>
  <c r="V9" i="5"/>
  <c r="J9" i="5"/>
  <c r="P9" i="5"/>
  <c r="H5" i="5"/>
  <c r="N5" i="5"/>
  <c r="X5" i="5"/>
  <c r="E5" i="5"/>
  <c r="I5" i="5"/>
  <c r="O5" i="5"/>
  <c r="Y5" i="5"/>
  <c r="F5" i="5"/>
  <c r="L5" i="5"/>
  <c r="V5" i="5"/>
  <c r="J5" i="5"/>
  <c r="P5" i="5"/>
  <c r="H25" i="5"/>
  <c r="E25" i="5"/>
  <c r="I25" i="5"/>
  <c r="O25" i="5"/>
  <c r="Y25" i="5"/>
  <c r="F25" i="5"/>
  <c r="L25" i="5"/>
  <c r="V25" i="5"/>
  <c r="J25" i="5"/>
  <c r="P25" i="5"/>
  <c r="G3" i="5"/>
  <c r="M3" i="5"/>
  <c r="W3" i="5"/>
  <c r="K25" i="5"/>
  <c r="G21" i="5"/>
  <c r="M21" i="5"/>
  <c r="W21" i="5"/>
  <c r="R19" i="5"/>
  <c r="D20" i="3"/>
  <c r="S19" i="5"/>
  <c r="K9" i="5"/>
  <c r="Q9" i="5"/>
  <c r="G5" i="5"/>
  <c r="M5" i="5"/>
  <c r="W5" i="5"/>
  <c r="T19" i="5"/>
  <c r="G24" i="5"/>
  <c r="M24" i="5"/>
  <c r="W24" i="5"/>
  <c r="K24" i="5"/>
  <c r="Q24" i="5"/>
  <c r="H24" i="5"/>
  <c r="N24" i="5"/>
  <c r="X24" i="5"/>
  <c r="E24" i="5"/>
  <c r="I24" i="5"/>
  <c r="O24" i="5"/>
  <c r="Y24" i="5"/>
  <c r="G20" i="5"/>
  <c r="M20" i="5"/>
  <c r="K20" i="5"/>
  <c r="Q20" i="5"/>
  <c r="H20" i="5"/>
  <c r="E20" i="5"/>
  <c r="I20" i="5"/>
  <c r="O20" i="5"/>
  <c r="Y20" i="5"/>
  <c r="G16" i="5"/>
  <c r="M16" i="5"/>
  <c r="W16" i="5"/>
  <c r="K16" i="5"/>
  <c r="H16" i="5"/>
  <c r="E16" i="5"/>
  <c r="I16" i="5"/>
  <c r="O16" i="5"/>
  <c r="Y16" i="5"/>
  <c r="G12" i="5"/>
  <c r="M12" i="5"/>
  <c r="W12" i="5"/>
  <c r="K12" i="5"/>
  <c r="H12" i="5"/>
  <c r="N12" i="5"/>
  <c r="X12" i="5"/>
  <c r="E12" i="5"/>
  <c r="I12" i="5"/>
  <c r="O12" i="5"/>
  <c r="Y12" i="5"/>
  <c r="G8" i="5"/>
  <c r="M8" i="5"/>
  <c r="W8" i="5"/>
  <c r="K8" i="5"/>
  <c r="Q8" i="5"/>
  <c r="H8" i="5"/>
  <c r="E8" i="5"/>
  <c r="I8" i="5"/>
  <c r="O8" i="5"/>
  <c r="Y8" i="5"/>
  <c r="G4" i="5"/>
  <c r="M4" i="5"/>
  <c r="K4" i="5"/>
  <c r="H4" i="5"/>
  <c r="E4" i="5"/>
  <c r="I4" i="5"/>
  <c r="O4" i="5"/>
  <c r="Y4" i="5"/>
  <c r="G25" i="5"/>
  <c r="M25" i="5"/>
  <c r="W25" i="5"/>
  <c r="J20" i="5"/>
  <c r="P20" i="5"/>
  <c r="F16" i="5"/>
  <c r="L16" i="5"/>
  <c r="V16" i="5"/>
  <c r="K13" i="5"/>
  <c r="Q13" i="5"/>
  <c r="G9" i="5"/>
  <c r="M9" i="5"/>
  <c r="W9" i="5"/>
  <c r="J4" i="5"/>
  <c r="P4" i="5"/>
  <c r="F23" i="5"/>
  <c r="L23" i="5"/>
  <c r="V23" i="5"/>
  <c r="J23" i="5"/>
  <c r="P23" i="5"/>
  <c r="G23" i="5"/>
  <c r="M23" i="5"/>
  <c r="W23" i="5"/>
  <c r="K23" i="5"/>
  <c r="H23" i="5"/>
  <c r="F19" i="5"/>
  <c r="L19" i="5"/>
  <c r="V19" i="5"/>
  <c r="J19" i="5"/>
  <c r="P19" i="5"/>
  <c r="G19" i="5"/>
  <c r="M19" i="5"/>
  <c r="W19" i="5"/>
  <c r="K19" i="5"/>
  <c r="Q19" i="5"/>
  <c r="H19" i="5"/>
  <c r="N19" i="5"/>
  <c r="X19" i="5"/>
  <c r="F15" i="5"/>
  <c r="L15" i="5"/>
  <c r="V15" i="5"/>
  <c r="J15" i="5"/>
  <c r="P15" i="5"/>
  <c r="G15" i="5"/>
  <c r="M15" i="5"/>
  <c r="K15" i="5"/>
  <c r="Q15" i="5"/>
  <c r="H15" i="5"/>
  <c r="N15" i="5"/>
  <c r="X15" i="5"/>
  <c r="F11" i="5"/>
  <c r="L11" i="5"/>
  <c r="V11" i="5"/>
  <c r="J11" i="5"/>
  <c r="P11" i="5"/>
  <c r="G11" i="5"/>
  <c r="M11" i="5"/>
  <c r="W11" i="5"/>
  <c r="K11" i="5"/>
  <c r="Q11" i="5"/>
  <c r="H11" i="5"/>
  <c r="F7" i="5"/>
  <c r="L7" i="5"/>
  <c r="V7" i="5"/>
  <c r="J7" i="5"/>
  <c r="P7" i="5"/>
  <c r="G7" i="5"/>
  <c r="M7" i="5"/>
  <c r="W7" i="5"/>
  <c r="H7" i="5"/>
  <c r="N7" i="5"/>
  <c r="X7" i="5"/>
  <c r="K7" i="5"/>
  <c r="Q7" i="5"/>
  <c r="Z7" i="5"/>
  <c r="F27" i="5"/>
  <c r="L27" i="5"/>
  <c r="V27" i="5"/>
  <c r="J27" i="5"/>
  <c r="P27" i="5"/>
  <c r="G27" i="5"/>
  <c r="M27" i="5"/>
  <c r="W27" i="5"/>
  <c r="K27" i="5"/>
  <c r="H27" i="5"/>
  <c r="N27" i="5"/>
  <c r="X27" i="5"/>
  <c r="E27" i="5"/>
  <c r="J24" i="5"/>
  <c r="P24" i="5"/>
  <c r="F20" i="5"/>
  <c r="L20" i="5"/>
  <c r="V20" i="5"/>
  <c r="K17" i="5"/>
  <c r="Q17" i="5"/>
  <c r="I15" i="5"/>
  <c r="O15" i="5"/>
  <c r="Y15" i="5"/>
  <c r="G13" i="5"/>
  <c r="M13" i="5"/>
  <c r="W13" i="5"/>
  <c r="E11" i="5"/>
  <c r="J8" i="5"/>
  <c r="P8" i="5"/>
  <c r="F4" i="5"/>
  <c r="L4" i="5"/>
  <c r="V4" i="5"/>
  <c r="E22" i="5"/>
  <c r="I22" i="5"/>
  <c r="O22" i="5"/>
  <c r="Y22" i="5"/>
  <c r="F22" i="5"/>
  <c r="L22" i="5"/>
  <c r="V22" i="5"/>
  <c r="J22" i="5"/>
  <c r="P22" i="5"/>
  <c r="G22" i="5"/>
  <c r="M22" i="5"/>
  <c r="K22" i="5"/>
  <c r="E18" i="5"/>
  <c r="I18" i="5"/>
  <c r="O18" i="5"/>
  <c r="Y18" i="5"/>
  <c r="F18" i="5"/>
  <c r="L18" i="5"/>
  <c r="V18" i="5"/>
  <c r="J18" i="5"/>
  <c r="P18" i="5"/>
  <c r="G18" i="5"/>
  <c r="M18" i="5"/>
  <c r="K18" i="5"/>
  <c r="Q18" i="5"/>
  <c r="E14" i="5"/>
  <c r="I14" i="5"/>
  <c r="O14" i="5"/>
  <c r="Y14" i="5"/>
  <c r="F14" i="5"/>
  <c r="L14" i="5"/>
  <c r="V14" i="5"/>
  <c r="G14" i="5"/>
  <c r="M14" i="5"/>
  <c r="W14" i="5"/>
  <c r="N14" i="5"/>
  <c r="X14" i="5"/>
  <c r="J14" i="5"/>
  <c r="P14" i="5"/>
  <c r="K14" i="5"/>
  <c r="Q14" i="5"/>
  <c r="Z14" i="5"/>
  <c r="E10" i="5"/>
  <c r="I10" i="5"/>
  <c r="O10" i="5"/>
  <c r="Y10" i="5"/>
  <c r="F10" i="5"/>
  <c r="L10" i="5"/>
  <c r="V10" i="5"/>
  <c r="J10" i="5"/>
  <c r="P10" i="5"/>
  <c r="G10" i="5"/>
  <c r="M10" i="5"/>
  <c r="K10" i="5"/>
  <c r="Q10" i="5"/>
  <c r="E6" i="5"/>
  <c r="I6" i="5"/>
  <c r="O6" i="5"/>
  <c r="Y6" i="5"/>
  <c r="F6" i="5"/>
  <c r="L6" i="5"/>
  <c r="V6" i="5"/>
  <c r="J6" i="5"/>
  <c r="P6" i="5"/>
  <c r="G6" i="5"/>
  <c r="M6" i="5"/>
  <c r="W6" i="5"/>
  <c r="K6" i="5"/>
  <c r="Q6" i="5"/>
  <c r="E26" i="5"/>
  <c r="I26" i="5"/>
  <c r="O26" i="5"/>
  <c r="Y26" i="5"/>
  <c r="F26" i="5"/>
  <c r="L26" i="5"/>
  <c r="V26" i="5"/>
  <c r="J26" i="5"/>
  <c r="P26" i="5"/>
  <c r="G26" i="5"/>
  <c r="M26" i="5"/>
  <c r="K26" i="5"/>
  <c r="K3" i="5"/>
  <c r="Q3" i="5"/>
  <c r="H26" i="5"/>
  <c r="F24" i="5"/>
  <c r="L24" i="5"/>
  <c r="V24" i="5"/>
  <c r="Z24" i="5"/>
  <c r="K21" i="5"/>
  <c r="Q21" i="5"/>
  <c r="I19" i="5"/>
  <c r="O19" i="5"/>
  <c r="Y19" i="5"/>
  <c r="G17" i="5"/>
  <c r="M17" i="5"/>
  <c r="W17" i="5"/>
  <c r="E15" i="5"/>
  <c r="J12" i="5"/>
  <c r="P12" i="5"/>
  <c r="H10" i="5"/>
  <c r="N10" i="5"/>
  <c r="X10" i="5"/>
  <c r="F8" i="5"/>
  <c r="L8" i="5"/>
  <c r="V8" i="5"/>
  <c r="K5" i="5"/>
  <c r="Q5" i="5"/>
  <c r="Q4" i="5"/>
  <c r="Q12" i="5"/>
  <c r="Q23" i="5"/>
  <c r="Q26" i="5"/>
  <c r="Q22" i="5"/>
  <c r="Q16" i="5"/>
  <c r="Q27" i="5"/>
  <c r="N25" i="5"/>
  <c r="X25" i="5"/>
  <c r="N16" i="5"/>
  <c r="X16" i="5"/>
  <c r="N8" i="5"/>
  <c r="X8" i="5"/>
  <c r="N22" i="5"/>
  <c r="X22" i="5"/>
  <c r="N17" i="5"/>
  <c r="X17" i="5"/>
  <c r="N11" i="5"/>
  <c r="X11" i="5"/>
  <c r="N6" i="5"/>
  <c r="X6" i="5"/>
  <c r="N26" i="5"/>
  <c r="X26" i="5"/>
  <c r="N23" i="5"/>
  <c r="X23" i="5"/>
  <c r="N20" i="5"/>
  <c r="X20" i="5"/>
  <c r="N4" i="5"/>
  <c r="X4" i="5"/>
  <c r="Q25" i="5"/>
  <c r="F47" i="1"/>
  <c r="F59" i="1"/>
  <c r="F99" i="1"/>
  <c r="F119" i="1"/>
  <c r="F127" i="1"/>
  <c r="G14" i="1"/>
  <c r="G18" i="1"/>
  <c r="G22" i="1"/>
  <c r="F51" i="1"/>
  <c r="F63" i="1"/>
  <c r="F87" i="1"/>
  <c r="F107" i="1"/>
  <c r="F115" i="1"/>
  <c r="F71" i="1"/>
  <c r="F79" i="1"/>
  <c r="F42" i="1"/>
  <c r="F54" i="1"/>
  <c r="F66" i="1"/>
  <c r="F83" i="1"/>
  <c r="F91" i="1"/>
  <c r="F94" i="1"/>
  <c r="F102" i="1"/>
  <c r="F111" i="1"/>
  <c r="F122" i="1"/>
  <c r="F43" i="1"/>
  <c r="F50" i="1"/>
  <c r="F55" i="1"/>
  <c r="F62" i="1"/>
  <c r="F67" i="1"/>
  <c r="F75" i="1"/>
  <c r="F95" i="1"/>
  <c r="F103" i="1"/>
  <c r="F106" i="1"/>
  <c r="F114" i="1"/>
  <c r="F123" i="1"/>
  <c r="F129" i="1"/>
  <c r="F133" i="1"/>
  <c r="F137" i="1"/>
  <c r="F141" i="1"/>
  <c r="F145" i="1"/>
  <c r="F150" i="1"/>
  <c r="F151" i="1"/>
  <c r="F158" i="1"/>
  <c r="F181" i="1"/>
  <c r="F197" i="1"/>
  <c r="F204" i="1"/>
  <c r="F163" i="1"/>
  <c r="F160" i="1"/>
  <c r="F189" i="1"/>
  <c r="F173" i="1"/>
  <c r="F208" i="1"/>
  <c r="F216" i="1"/>
  <c r="F220" i="1"/>
  <c r="F228" i="1"/>
  <c r="F232" i="1"/>
  <c r="F240" i="1"/>
  <c r="F244" i="1"/>
  <c r="F203" i="1"/>
  <c r="F207" i="1"/>
  <c r="F211" i="1"/>
  <c r="F215" i="1"/>
  <c r="F219" i="1"/>
  <c r="F223" i="1"/>
  <c r="F227" i="1"/>
  <c r="F231" i="1"/>
  <c r="F235" i="1"/>
  <c r="F239" i="1"/>
  <c r="F243" i="1"/>
  <c r="F247" i="1"/>
  <c r="F251" i="1"/>
  <c r="F263" i="1"/>
  <c r="F255" i="1"/>
  <c r="F257" i="1"/>
  <c r="F259" i="1"/>
  <c r="F267" i="1"/>
  <c r="A272" i="1"/>
  <c r="F277" i="1"/>
  <c r="F300" i="1"/>
  <c r="F339" i="1"/>
  <c r="F349" i="1"/>
  <c r="F378" i="1"/>
  <c r="F279" i="1"/>
  <c r="F302" i="1"/>
  <c r="F273" i="1"/>
  <c r="F281" i="1"/>
  <c r="F304" i="1"/>
  <c r="F311" i="1"/>
  <c r="F319" i="1"/>
  <c r="F395" i="1"/>
  <c r="F275" i="1"/>
  <c r="F283" i="1"/>
  <c r="F292" i="1"/>
  <c r="F298" i="1"/>
  <c r="F306" i="1"/>
  <c r="F313" i="1"/>
  <c r="F335" i="1"/>
  <c r="F353" i="1"/>
  <c r="F370" i="1"/>
  <c r="F400" i="1"/>
  <c r="F413" i="1"/>
  <c r="F393" i="1"/>
  <c r="F325" i="1"/>
  <c r="F364" i="1"/>
  <c r="F372" i="1"/>
  <c r="F388" i="1"/>
  <c r="F396" i="1"/>
  <c r="F374" i="1"/>
  <c r="F362" i="1"/>
  <c r="F376" i="1"/>
  <c r="F383" i="1"/>
  <c r="F397" i="1"/>
  <c r="F398" i="1"/>
  <c r="F418" i="1"/>
  <c r="F401" i="1"/>
  <c r="F407" i="1"/>
  <c r="F422" i="1"/>
  <c r="F437" i="1"/>
  <c r="F415" i="1"/>
  <c r="F419" i="1"/>
  <c r="F423" i="1"/>
  <c r="F427" i="1"/>
  <c r="F443" i="1"/>
  <c r="F447" i="1"/>
  <c r="F451" i="1"/>
  <c r="F409" i="1"/>
  <c r="F431" i="1"/>
  <c r="F435" i="1"/>
  <c r="F433" i="1"/>
  <c r="F458" i="1"/>
  <c r="U15" i="5"/>
  <c r="E16" i="3"/>
  <c r="W15" i="5"/>
  <c r="Z15" i="5"/>
  <c r="Z23" i="5"/>
  <c r="AA23" i="5"/>
  <c r="F24" i="3"/>
  <c r="Z16" i="5"/>
  <c r="W18" i="5"/>
  <c r="Z18" i="5"/>
  <c r="U22" i="5"/>
  <c r="E23" i="3"/>
  <c r="W22" i="5"/>
  <c r="Z25" i="5"/>
  <c r="Z17" i="5"/>
  <c r="U26" i="5"/>
  <c r="E27" i="3"/>
  <c r="W26" i="5"/>
  <c r="Z26" i="5"/>
  <c r="U18" i="5"/>
  <c r="E19" i="3"/>
  <c r="Z22" i="5"/>
  <c r="Z27" i="5"/>
  <c r="Z19" i="5"/>
  <c r="AA19" i="5"/>
  <c r="F20" i="3"/>
  <c r="U20" i="5"/>
  <c r="E21" i="3"/>
  <c r="W20" i="5"/>
  <c r="Z20" i="5"/>
  <c r="Z21" i="5"/>
  <c r="Z9" i="5"/>
  <c r="Z8" i="5"/>
  <c r="Z11" i="5"/>
  <c r="U10" i="5"/>
  <c r="E11" i="3"/>
  <c r="W10" i="5"/>
  <c r="Z10" i="5"/>
  <c r="U4" i="5"/>
  <c r="E5" i="3"/>
  <c r="W4" i="5"/>
  <c r="Z4" i="5"/>
  <c r="Z12" i="5"/>
  <c r="Z6" i="5"/>
  <c r="Z5" i="5"/>
  <c r="J28" i="5"/>
  <c r="D8" i="3"/>
  <c r="AA7" i="5"/>
  <c r="F8" i="3"/>
  <c r="Z13" i="5"/>
  <c r="E28" i="5"/>
  <c r="P3" i="5"/>
  <c r="U17" i="5"/>
  <c r="E18" i="3"/>
  <c r="U8" i="5"/>
  <c r="E9" i="3"/>
  <c r="U24" i="5"/>
  <c r="E25" i="3"/>
  <c r="U3" i="5"/>
  <c r="E4" i="3"/>
  <c r="U13" i="5"/>
  <c r="E14" i="3"/>
  <c r="U27" i="5"/>
  <c r="E28" i="3"/>
  <c r="U19" i="5"/>
  <c r="E20" i="3"/>
  <c r="U12" i="5"/>
  <c r="E13" i="3"/>
  <c r="U11" i="5"/>
  <c r="E12" i="3"/>
  <c r="U6" i="5"/>
  <c r="E7" i="3"/>
  <c r="U14" i="5"/>
  <c r="E15" i="3"/>
  <c r="U7" i="5"/>
  <c r="E8" i="3"/>
  <c r="U23" i="5"/>
  <c r="E24" i="3"/>
  <c r="U9" i="5"/>
  <c r="E10" i="3"/>
  <c r="U25" i="5"/>
  <c r="E26" i="3"/>
  <c r="U16" i="5"/>
  <c r="E17" i="3"/>
  <c r="M28" i="5"/>
  <c r="H2" i="6"/>
  <c r="H4" i="6"/>
  <c r="U5" i="5"/>
  <c r="E6" i="3"/>
  <c r="U21" i="5"/>
  <c r="E22" i="3"/>
  <c r="S12" i="5"/>
  <c r="T12" i="5"/>
  <c r="R12" i="5"/>
  <c r="S9" i="5"/>
  <c r="R9" i="5"/>
  <c r="T9" i="5"/>
  <c r="T3" i="5"/>
  <c r="S3" i="5"/>
  <c r="R3" i="5"/>
  <c r="R15" i="5"/>
  <c r="D16" i="3"/>
  <c r="S15" i="5"/>
  <c r="T15" i="5"/>
  <c r="S26" i="5"/>
  <c r="R26" i="5"/>
  <c r="D27" i="3"/>
  <c r="T26" i="5"/>
  <c r="S10" i="5"/>
  <c r="R10" i="5"/>
  <c r="T10" i="5"/>
  <c r="S18" i="5"/>
  <c r="R18" i="5"/>
  <c r="D19" i="3"/>
  <c r="T18" i="5"/>
  <c r="S16" i="5"/>
  <c r="T16" i="5"/>
  <c r="R16" i="5"/>
  <c r="D17" i="3"/>
  <c r="S13" i="5"/>
  <c r="T13" i="5"/>
  <c r="R13" i="5"/>
  <c r="R27" i="5"/>
  <c r="D28" i="3"/>
  <c r="S27" i="5"/>
  <c r="T27" i="5"/>
  <c r="H28" i="5"/>
  <c r="F28" i="5"/>
  <c r="G28" i="5"/>
  <c r="R11" i="5"/>
  <c r="S11" i="5"/>
  <c r="T11" i="5"/>
  <c r="S4" i="5"/>
  <c r="T4" i="5"/>
  <c r="R4" i="5"/>
  <c r="S20" i="5"/>
  <c r="T20" i="5"/>
  <c r="R20" i="5"/>
  <c r="D21" i="3"/>
  <c r="S25" i="5"/>
  <c r="R25" i="5"/>
  <c r="D26" i="3"/>
  <c r="T25" i="5"/>
  <c r="S17" i="5"/>
  <c r="T17" i="5"/>
  <c r="R17" i="5"/>
  <c r="D18" i="3"/>
  <c r="L28" i="5"/>
  <c r="G2" i="6"/>
  <c r="P28" i="5"/>
  <c r="K2" i="6"/>
  <c r="S6" i="5"/>
  <c r="R6" i="5"/>
  <c r="T6" i="5"/>
  <c r="S14" i="5"/>
  <c r="R14" i="5"/>
  <c r="D15" i="3"/>
  <c r="T14" i="5"/>
  <c r="S22" i="5"/>
  <c r="R22" i="5"/>
  <c r="D23" i="3"/>
  <c r="T22" i="5"/>
  <c r="S8" i="5"/>
  <c r="T8" i="5"/>
  <c r="R8" i="5"/>
  <c r="S24" i="5"/>
  <c r="T24" i="5"/>
  <c r="R24" i="5"/>
  <c r="D25" i="3"/>
  <c r="S5" i="5"/>
  <c r="T5" i="5"/>
  <c r="R5" i="5"/>
  <c r="S21" i="5"/>
  <c r="T21" i="5"/>
  <c r="R21" i="5"/>
  <c r="D22" i="3"/>
  <c r="N28" i="5"/>
  <c r="I2" i="6"/>
  <c r="K28" i="5"/>
  <c r="Q28" i="5"/>
  <c r="L2" i="6"/>
  <c r="I28" i="5"/>
  <c r="O3" i="5"/>
  <c r="G16" i="1"/>
  <c r="A284" i="1"/>
  <c r="G20" i="1"/>
  <c r="G10" i="1"/>
  <c r="G15" i="1"/>
  <c r="G11" i="1"/>
  <c r="G19" i="1"/>
  <c r="G21" i="1"/>
  <c r="G12" i="1"/>
  <c r="AA20" i="5"/>
  <c r="F21" i="3"/>
  <c r="AA22" i="5"/>
  <c r="F23" i="3"/>
  <c r="AA15" i="5"/>
  <c r="F16" i="3"/>
  <c r="AA17" i="5"/>
  <c r="F18" i="3"/>
  <c r="AA18" i="5"/>
  <c r="F19" i="3"/>
  <c r="AA25" i="5"/>
  <c r="F26" i="3"/>
  <c r="AA16" i="5"/>
  <c r="F17" i="3"/>
  <c r="AA14" i="5"/>
  <c r="F15" i="3"/>
  <c r="AA21" i="5"/>
  <c r="F22" i="3"/>
  <c r="AA27" i="5"/>
  <c r="F28" i="3"/>
  <c r="AA26" i="5"/>
  <c r="F27" i="3"/>
  <c r="AA24" i="5"/>
  <c r="F25" i="3"/>
  <c r="H22" i="6"/>
  <c r="H33" i="6"/>
  <c r="H28" i="6"/>
  <c r="H13" i="6"/>
  <c r="H30" i="6"/>
  <c r="O28" i="5"/>
  <c r="J2" i="6"/>
  <c r="J4" i="6"/>
  <c r="Y3" i="5"/>
  <c r="Z3" i="5"/>
  <c r="AA3" i="5"/>
  <c r="F4" i="3"/>
  <c r="H31" i="6"/>
  <c r="AA11" i="5"/>
  <c r="F12" i="3"/>
  <c r="D12" i="3"/>
  <c r="AA10" i="5"/>
  <c r="F11" i="3"/>
  <c r="D11" i="3"/>
  <c r="D4" i="3"/>
  <c r="D10" i="3"/>
  <c r="AA9" i="5"/>
  <c r="F10" i="3"/>
  <c r="D6" i="3"/>
  <c r="AA5" i="5"/>
  <c r="F6" i="3"/>
  <c r="AA8" i="5"/>
  <c r="F9" i="3"/>
  <c r="D9" i="3"/>
  <c r="AA6" i="5"/>
  <c r="F7" i="3"/>
  <c r="D7" i="3"/>
  <c r="AA4" i="5"/>
  <c r="F5" i="3"/>
  <c r="D5" i="3"/>
  <c r="AA12" i="5"/>
  <c r="F13" i="3"/>
  <c r="D13" i="3"/>
  <c r="AA13" i="5"/>
  <c r="F14" i="3"/>
  <c r="D14" i="3"/>
  <c r="H18" i="6"/>
  <c r="H20" i="6"/>
  <c r="H24" i="6"/>
  <c r="H23" i="6"/>
  <c r="H29" i="6"/>
  <c r="H5" i="6"/>
  <c r="H6" i="6"/>
  <c r="H10" i="6"/>
  <c r="H19" i="6"/>
  <c r="H16" i="6"/>
  <c r="H21" i="6"/>
  <c r="H27" i="6"/>
  <c r="H8" i="6"/>
  <c r="H12" i="6"/>
  <c r="H7" i="6"/>
  <c r="H17" i="6"/>
  <c r="H11" i="6"/>
  <c r="H34" i="6"/>
  <c r="H15" i="6"/>
  <c r="H26" i="6"/>
  <c r="H32" i="6"/>
  <c r="H14" i="6"/>
  <c r="H25" i="6"/>
  <c r="H9" i="6"/>
  <c r="G7" i="6"/>
  <c r="G11" i="6"/>
  <c r="G15" i="6"/>
  <c r="G19" i="6"/>
  <c r="G23" i="6"/>
  <c r="G6" i="6"/>
  <c r="G12" i="6"/>
  <c r="G17" i="6"/>
  <c r="G22" i="6"/>
  <c r="G27" i="6"/>
  <c r="G31" i="6"/>
  <c r="G4" i="6"/>
  <c r="G8" i="6"/>
  <c r="G14" i="6"/>
  <c r="G21" i="6"/>
  <c r="G28" i="6"/>
  <c r="G33" i="6"/>
  <c r="G25" i="6"/>
  <c r="G13" i="6"/>
  <c r="G32" i="6"/>
  <c r="G9" i="6"/>
  <c r="G16" i="6"/>
  <c r="G24" i="6"/>
  <c r="G29" i="6"/>
  <c r="G34" i="6"/>
  <c r="G10" i="6"/>
  <c r="G30" i="6"/>
  <c r="G5" i="6"/>
  <c r="G26" i="6"/>
  <c r="G18" i="6"/>
  <c r="G20" i="6"/>
  <c r="S28" i="5"/>
  <c r="M2" i="6"/>
  <c r="R28" i="5"/>
  <c r="D6" i="1"/>
  <c r="H22" i="1"/>
  <c r="G23" i="1"/>
  <c r="H23" i="1"/>
  <c r="G24" i="1"/>
  <c r="H24" i="1"/>
  <c r="T28" i="5"/>
  <c r="N2" i="6"/>
  <c r="L4" i="6"/>
  <c r="L7" i="6"/>
  <c r="L11" i="6"/>
  <c r="L15" i="6"/>
  <c r="L19" i="6"/>
  <c r="L23" i="6"/>
  <c r="L27" i="6"/>
  <c r="L31" i="6"/>
  <c r="L8" i="6"/>
  <c r="L10" i="6"/>
  <c r="L17" i="6"/>
  <c r="L24" i="6"/>
  <c r="L26" i="6"/>
  <c r="L33" i="6"/>
  <c r="L20" i="6"/>
  <c r="L5" i="6"/>
  <c r="L12" i="6"/>
  <c r="L14" i="6"/>
  <c r="L21" i="6"/>
  <c r="L28" i="6"/>
  <c r="L30" i="6"/>
  <c r="L18" i="6"/>
  <c r="L25" i="6"/>
  <c r="L32" i="6"/>
  <c r="L13" i="6"/>
  <c r="L29" i="6"/>
  <c r="L9" i="6"/>
  <c r="L16" i="6"/>
  <c r="L34" i="6"/>
  <c r="L6" i="6"/>
  <c r="L22" i="6"/>
  <c r="J15" i="6"/>
  <c r="J31" i="6"/>
  <c r="J24" i="6"/>
  <c r="J14" i="6"/>
  <c r="J34" i="6"/>
  <c r="J13" i="6"/>
  <c r="J22" i="6"/>
  <c r="J6" i="6"/>
  <c r="J18" i="6"/>
  <c r="J25" i="6"/>
  <c r="J32" i="6"/>
  <c r="I6" i="6"/>
  <c r="I10" i="6"/>
  <c r="I14" i="6"/>
  <c r="I18" i="6"/>
  <c r="I22" i="6"/>
  <c r="I26" i="6"/>
  <c r="I30" i="6"/>
  <c r="I34" i="6"/>
  <c r="I4" i="6"/>
  <c r="I5" i="6"/>
  <c r="I12" i="6"/>
  <c r="I19" i="6"/>
  <c r="I21" i="6"/>
  <c r="I28" i="6"/>
  <c r="I7" i="6"/>
  <c r="I33" i="6"/>
  <c r="I8" i="6"/>
  <c r="I20" i="6"/>
  <c r="I27" i="6"/>
  <c r="I9" i="6"/>
  <c r="I16" i="6"/>
  <c r="I23" i="6"/>
  <c r="I17" i="6"/>
  <c r="I24" i="6"/>
  <c r="I29" i="6"/>
  <c r="I31" i="6"/>
  <c r="I13" i="6"/>
  <c r="I25" i="6"/>
  <c r="I32" i="6"/>
  <c r="I15" i="6"/>
  <c r="I11" i="6"/>
  <c r="K5"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4" i="6"/>
  <c r="A296" i="1"/>
  <c r="G25" i="1"/>
  <c r="H25" i="1"/>
  <c r="J29" i="6"/>
  <c r="J5" i="6"/>
  <c r="O5" i="6"/>
  <c r="J33" i="6"/>
  <c r="J23" i="6"/>
  <c r="J20" i="6"/>
  <c r="J21" i="6"/>
  <c r="J10" i="6"/>
  <c r="O10" i="6"/>
  <c r="J7" i="6"/>
  <c r="J12" i="6"/>
  <c r="O12" i="6"/>
  <c r="J28" i="6"/>
  <c r="O28" i="6"/>
  <c r="P28" i="6"/>
  <c r="J9" i="6"/>
  <c r="J17" i="6"/>
  <c r="J27" i="6"/>
  <c r="O27" i="6"/>
  <c r="P27" i="6"/>
  <c r="J11" i="6"/>
  <c r="J30" i="6"/>
  <c r="O30" i="6"/>
  <c r="P30" i="6"/>
  <c r="J16" i="6"/>
  <c r="J26" i="6"/>
  <c r="J8" i="6"/>
  <c r="J19" i="6"/>
  <c r="O19" i="6"/>
  <c r="O4" i="6"/>
  <c r="O20" i="6"/>
  <c r="O24" i="6"/>
  <c r="O13" i="6"/>
  <c r="O21" i="6"/>
  <c r="O31" i="6"/>
  <c r="P31" i="6"/>
  <c r="O15" i="6"/>
  <c r="O32" i="6"/>
  <c r="P32" i="6"/>
  <c r="N4" i="6"/>
  <c r="N5" i="6"/>
  <c r="N9" i="6"/>
  <c r="N13" i="6"/>
  <c r="N17" i="6"/>
  <c r="N21" i="6"/>
  <c r="N25" i="6"/>
  <c r="N29" i="6"/>
  <c r="N33" i="6"/>
  <c r="N11" i="6"/>
  <c r="N18" i="6"/>
  <c r="N20" i="6"/>
  <c r="N27" i="6"/>
  <c r="N34" i="6"/>
  <c r="N7" i="6"/>
  <c r="N14" i="6"/>
  <c r="N30" i="6"/>
  <c r="N6" i="6"/>
  <c r="N8" i="6"/>
  <c r="N15" i="6"/>
  <c r="N22" i="6"/>
  <c r="N24" i="6"/>
  <c r="N31" i="6"/>
  <c r="N10" i="6"/>
  <c r="N28" i="6"/>
  <c r="N23" i="6"/>
  <c r="N12" i="6"/>
  <c r="N19" i="6"/>
  <c r="N26" i="6"/>
  <c r="N16" i="6"/>
  <c r="N32" i="6"/>
  <c r="O18" i="6"/>
  <c r="O16" i="6"/>
  <c r="O25" i="6"/>
  <c r="O14" i="6"/>
  <c r="O6" i="6"/>
  <c r="O11" i="6"/>
  <c r="M4" i="6"/>
  <c r="M8" i="6"/>
  <c r="M12" i="6"/>
  <c r="M16" i="6"/>
  <c r="M20" i="6"/>
  <c r="Q20" i="6"/>
  <c r="E224" i="1"/>
  <c r="M24" i="6"/>
  <c r="M28" i="6"/>
  <c r="M32" i="6"/>
  <c r="Q32" i="6"/>
  <c r="M6" i="6"/>
  <c r="Q6" i="6"/>
  <c r="E56" i="1"/>
  <c r="M13" i="6"/>
  <c r="M15" i="6"/>
  <c r="M22" i="6"/>
  <c r="Q22" i="6"/>
  <c r="E248" i="1"/>
  <c r="M29" i="6"/>
  <c r="Q29" i="6"/>
  <c r="M31" i="6"/>
  <c r="M11" i="6"/>
  <c r="Q11" i="6"/>
  <c r="E116" i="1"/>
  <c r="M27" i="6"/>
  <c r="Q27" i="6"/>
  <c r="M10" i="6"/>
  <c r="Q10" i="6"/>
  <c r="E104" i="1"/>
  <c r="M17" i="6"/>
  <c r="Q17" i="6"/>
  <c r="E188" i="1"/>
  <c r="M19" i="6"/>
  <c r="M26" i="6"/>
  <c r="Q26" i="6"/>
  <c r="E296" i="1"/>
  <c r="M33" i="6"/>
  <c r="Q33" i="6"/>
  <c r="M5" i="6"/>
  <c r="Q5" i="6"/>
  <c r="E44" i="1"/>
  <c r="M14" i="6"/>
  <c r="M21" i="6"/>
  <c r="Q21" i="6"/>
  <c r="E236" i="1"/>
  <c r="M18" i="6"/>
  <c r="Q18" i="6"/>
  <c r="E200" i="1"/>
  <c r="M34" i="6"/>
  <c r="Q34" i="6"/>
  <c r="M7" i="6"/>
  <c r="M23" i="6"/>
  <c r="Q23" i="6"/>
  <c r="E260" i="1"/>
  <c r="M30" i="6"/>
  <c r="Q30" i="6"/>
  <c r="M9" i="6"/>
  <c r="Q9" i="6"/>
  <c r="E92" i="1"/>
  <c r="M25" i="6"/>
  <c r="O29" i="6"/>
  <c r="P29" i="6"/>
  <c r="O17" i="6"/>
  <c r="O26" i="6"/>
  <c r="O34" i="6"/>
  <c r="P34" i="6"/>
  <c r="O9" i="6"/>
  <c r="O33" i="6"/>
  <c r="P33" i="6"/>
  <c r="O8" i="6"/>
  <c r="O22" i="6"/>
  <c r="O23" i="6"/>
  <c r="O7" i="6"/>
  <c r="A308" i="1"/>
  <c r="G26" i="1"/>
  <c r="H26" i="1"/>
  <c r="Q13" i="6"/>
  <c r="E140" i="1"/>
  <c r="Q4" i="6"/>
  <c r="E40" i="1"/>
  <c r="Q16" i="6"/>
  <c r="E176" i="1"/>
  <c r="Q24" i="6"/>
  <c r="E272" i="1"/>
  <c r="P8" i="6"/>
  <c r="D80" i="1"/>
  <c r="P7" i="6"/>
  <c r="D68" i="1"/>
  <c r="P9" i="6"/>
  <c r="D92" i="1"/>
  <c r="F92" i="1"/>
  <c r="P11" i="6"/>
  <c r="D116" i="1"/>
  <c r="F116" i="1"/>
  <c r="P25" i="6"/>
  <c r="D284" i="1"/>
  <c r="P12" i="6"/>
  <c r="D128" i="1"/>
  <c r="P24" i="6"/>
  <c r="D272" i="1"/>
  <c r="P17" i="6"/>
  <c r="D188" i="1"/>
  <c r="F188" i="1"/>
  <c r="P23" i="6"/>
  <c r="D260" i="1"/>
  <c r="F260" i="1"/>
  <c r="P22" i="6"/>
  <c r="D248" i="1"/>
  <c r="F248" i="1"/>
  <c r="P6" i="6"/>
  <c r="D56" i="1"/>
  <c r="F56" i="1"/>
  <c r="P16" i="6"/>
  <c r="D176" i="1"/>
  <c r="P10" i="6"/>
  <c r="D104" i="1"/>
  <c r="F104" i="1"/>
  <c r="P5" i="6"/>
  <c r="D44" i="1"/>
  <c r="F44" i="1"/>
  <c r="P21" i="6"/>
  <c r="D236" i="1"/>
  <c r="F236" i="1"/>
  <c r="P20" i="6"/>
  <c r="D224" i="1"/>
  <c r="F224" i="1"/>
  <c r="P26" i="6"/>
  <c r="D296" i="1"/>
  <c r="F296" i="1"/>
  <c r="P14" i="6"/>
  <c r="D152" i="1"/>
  <c r="P18" i="6"/>
  <c r="D200" i="1"/>
  <c r="F200" i="1"/>
  <c r="P19" i="6"/>
  <c r="D212" i="1"/>
  <c r="P15" i="6"/>
  <c r="D164" i="1"/>
  <c r="P13" i="6"/>
  <c r="D140" i="1"/>
  <c r="P4" i="6"/>
  <c r="D40" i="1"/>
  <c r="Q25" i="6"/>
  <c r="E284" i="1"/>
  <c r="Q7" i="6"/>
  <c r="E68" i="1"/>
  <c r="Q14" i="6"/>
  <c r="E152" i="1"/>
  <c r="Q19" i="6"/>
  <c r="E212" i="1"/>
  <c r="Q15" i="6"/>
  <c r="E164" i="1"/>
  <c r="Q28" i="6"/>
  <c r="Q12" i="6"/>
  <c r="E128" i="1"/>
  <c r="Q31" i="6"/>
  <c r="Q8" i="6"/>
  <c r="E80" i="1"/>
  <c r="E308" i="1"/>
  <c r="D308" i="1"/>
  <c r="A320" i="1"/>
  <c r="F140" i="1"/>
  <c r="F40" i="1"/>
  <c r="G27" i="1"/>
  <c r="H27" i="1"/>
  <c r="F176" i="1"/>
  <c r="F80" i="1"/>
  <c r="F68" i="1"/>
  <c r="F128" i="1"/>
  <c r="F272" i="1"/>
  <c r="F164" i="1"/>
  <c r="F284" i="1"/>
  <c r="F212" i="1"/>
  <c r="F152" i="1"/>
  <c r="F308" i="1"/>
  <c r="E320" i="1"/>
  <c r="D320" i="1"/>
  <c r="A332" i="1"/>
  <c r="G28" i="1"/>
  <c r="H28" i="1"/>
  <c r="G29" i="1"/>
  <c r="H29" i="1"/>
  <c r="G30" i="1"/>
  <c r="H30" i="1"/>
  <c r="G31" i="1"/>
  <c r="H31" i="1"/>
  <c r="G32" i="1"/>
  <c r="H32" i="1"/>
  <c r="G33" i="1"/>
  <c r="H33" i="1"/>
  <c r="G34" i="1"/>
  <c r="H34" i="1"/>
  <c r="E332" i="1"/>
  <c r="D332" i="1"/>
  <c r="F320" i="1"/>
  <c r="A344" i="1"/>
  <c r="F332" i="1"/>
  <c r="E344" i="1"/>
  <c r="D344" i="1"/>
  <c r="G35" i="1"/>
  <c r="H35" i="1"/>
  <c r="A356" i="1"/>
  <c r="F344" i="1"/>
  <c r="E356" i="1"/>
  <c r="D356" i="1"/>
  <c r="A368" i="1"/>
  <c r="G36" i="1"/>
  <c r="H36" i="1"/>
  <c r="E368" i="1"/>
  <c r="D368" i="1"/>
  <c r="F356" i="1"/>
  <c r="A380" i="1"/>
  <c r="G37" i="1"/>
  <c r="H37" i="1"/>
  <c r="F368" i="1"/>
  <c r="E380" i="1"/>
  <c r="D380" i="1"/>
  <c r="G38" i="1"/>
  <c r="H38" i="1"/>
  <c r="A392" i="1"/>
  <c r="F380" i="1"/>
  <c r="E392" i="1"/>
  <c r="D392" i="1"/>
  <c r="A404" i="1"/>
  <c r="G39" i="1"/>
  <c r="H39" i="1"/>
  <c r="F392" i="1"/>
  <c r="E404" i="1"/>
  <c r="D404" i="1"/>
  <c r="A416" i="1"/>
  <c r="G40" i="1"/>
  <c r="H40" i="1"/>
  <c r="F404" i="1"/>
  <c r="E416" i="1"/>
  <c r="D416" i="1"/>
  <c r="G41" i="1"/>
  <c r="H41" i="1"/>
  <c r="A428" i="1"/>
  <c r="F416" i="1"/>
  <c r="E428" i="1"/>
  <c r="D428" i="1"/>
  <c r="G42" i="1"/>
  <c r="H42" i="1"/>
  <c r="A440" i="1"/>
  <c r="F428" i="1"/>
  <c r="E440" i="1"/>
  <c r="D440" i="1"/>
  <c r="A452" i="1"/>
  <c r="G43" i="1"/>
  <c r="H43" i="1"/>
  <c r="E452" i="1"/>
  <c r="D452" i="1"/>
  <c r="F440" i="1"/>
  <c r="G44" i="1"/>
  <c r="H44" i="1"/>
  <c r="F452" i="1"/>
  <c r="G45" i="1"/>
  <c r="H45" i="1"/>
  <c r="G46" i="1"/>
  <c r="H46" i="1"/>
  <c r="G47" i="1"/>
  <c r="H47" i="1"/>
  <c r="G48" i="1"/>
  <c r="H48" i="1"/>
  <c r="G49" i="1"/>
  <c r="H49" i="1"/>
  <c r="G50" i="1"/>
  <c r="H50" i="1"/>
  <c r="G51" i="1"/>
  <c r="H51" i="1"/>
  <c r="G52" i="1"/>
  <c r="H52" i="1"/>
  <c r="G53" i="1"/>
  <c r="H53" i="1"/>
  <c r="G54" i="1"/>
  <c r="H54" i="1"/>
  <c r="G55" i="1"/>
  <c r="H55" i="1"/>
  <c r="G56" i="1"/>
  <c r="H56" i="1"/>
  <c r="G57" i="1"/>
  <c r="H57" i="1"/>
  <c r="G58" i="1"/>
  <c r="H58" i="1"/>
  <c r="G59" i="1"/>
  <c r="H59" i="1"/>
  <c r="G60" i="1"/>
  <c r="H60" i="1"/>
  <c r="G61" i="1"/>
  <c r="H61" i="1"/>
  <c r="G62" i="1"/>
  <c r="H62" i="1"/>
  <c r="G63" i="1"/>
  <c r="H63" i="1"/>
  <c r="G64" i="1"/>
  <c r="H64" i="1"/>
  <c r="G65" i="1"/>
  <c r="H65" i="1"/>
  <c r="G66" i="1"/>
  <c r="H66" i="1"/>
  <c r="G67" i="1"/>
  <c r="H67" i="1"/>
  <c r="G68" i="1"/>
  <c r="H68" i="1"/>
  <c r="G69" i="1"/>
  <c r="H69" i="1"/>
  <c r="G70" i="1"/>
  <c r="H70" i="1"/>
  <c r="G71" i="1"/>
  <c r="H71" i="1"/>
  <c r="G72" i="1"/>
  <c r="H72" i="1"/>
  <c r="G73" i="1"/>
  <c r="H73" i="1"/>
  <c r="G74" i="1"/>
  <c r="H74" i="1"/>
  <c r="G75" i="1"/>
  <c r="H75" i="1"/>
  <c r="G76" i="1"/>
  <c r="H76" i="1"/>
  <c r="G77" i="1"/>
  <c r="H77" i="1"/>
  <c r="G78" i="1"/>
  <c r="H78" i="1"/>
  <c r="G79" i="1"/>
  <c r="H79" i="1"/>
  <c r="G80" i="1"/>
  <c r="H80" i="1"/>
  <c r="G81" i="1"/>
  <c r="H81" i="1"/>
  <c r="G82" i="1"/>
  <c r="H82" i="1"/>
  <c r="G83" i="1"/>
  <c r="H83" i="1"/>
  <c r="G84" i="1"/>
  <c r="H84" i="1"/>
  <c r="G85" i="1"/>
  <c r="H85" i="1"/>
  <c r="G86" i="1"/>
  <c r="H86" i="1"/>
  <c r="G87" i="1"/>
  <c r="H87" i="1"/>
  <c r="G88" i="1"/>
  <c r="H88" i="1"/>
  <c r="G89" i="1"/>
  <c r="H89" i="1"/>
  <c r="G90" i="1"/>
  <c r="H90" i="1"/>
  <c r="G91" i="1"/>
  <c r="H91" i="1"/>
  <c r="G92" i="1"/>
  <c r="H92" i="1"/>
  <c r="G93" i="1"/>
  <c r="H93" i="1"/>
  <c r="G94" i="1"/>
  <c r="H94" i="1"/>
  <c r="G95" i="1"/>
  <c r="H95" i="1"/>
  <c r="G96" i="1"/>
  <c r="H96" i="1"/>
  <c r="G97" i="1"/>
  <c r="H97" i="1"/>
  <c r="G98" i="1"/>
  <c r="H98" i="1"/>
  <c r="G99" i="1"/>
  <c r="H99" i="1"/>
  <c r="G100" i="1"/>
  <c r="H100" i="1"/>
  <c r="G101" i="1"/>
  <c r="H101" i="1"/>
  <c r="G102" i="1"/>
  <c r="H102" i="1"/>
  <c r="G103" i="1"/>
  <c r="H103" i="1"/>
  <c r="G104" i="1"/>
  <c r="H104" i="1"/>
  <c r="G105" i="1"/>
  <c r="H105" i="1"/>
  <c r="G106" i="1"/>
  <c r="H106" i="1"/>
  <c r="G107" i="1"/>
  <c r="H107" i="1"/>
  <c r="G108" i="1"/>
  <c r="H108" i="1"/>
  <c r="G109" i="1"/>
  <c r="H109" i="1"/>
  <c r="G110" i="1"/>
  <c r="H110" i="1"/>
  <c r="G111" i="1"/>
  <c r="H111" i="1"/>
  <c r="G112" i="1"/>
  <c r="H112" i="1"/>
  <c r="G113" i="1"/>
  <c r="H113" i="1"/>
  <c r="G114" i="1"/>
  <c r="H114" i="1"/>
  <c r="G115" i="1"/>
  <c r="H115" i="1"/>
  <c r="G116" i="1"/>
  <c r="H116" i="1"/>
  <c r="G117" i="1"/>
  <c r="H117" i="1"/>
  <c r="G118" i="1"/>
  <c r="H118" i="1"/>
  <c r="G119" i="1"/>
  <c r="H119" i="1"/>
  <c r="G120" i="1"/>
  <c r="H120" i="1"/>
  <c r="G121" i="1"/>
  <c r="H121" i="1"/>
  <c r="G122" i="1"/>
  <c r="H122" i="1"/>
  <c r="G123" i="1"/>
  <c r="H123" i="1"/>
  <c r="G124" i="1"/>
  <c r="H124" i="1"/>
  <c r="G125" i="1"/>
  <c r="H125" i="1"/>
  <c r="G126" i="1"/>
  <c r="H126" i="1"/>
  <c r="G127" i="1"/>
  <c r="H127" i="1"/>
  <c r="G128" i="1"/>
  <c r="H128" i="1"/>
  <c r="G129" i="1"/>
  <c r="H129" i="1"/>
  <c r="G130" i="1"/>
  <c r="H130" i="1"/>
  <c r="G131" i="1"/>
  <c r="H131" i="1"/>
  <c r="G132" i="1"/>
  <c r="H132" i="1"/>
  <c r="G133" i="1"/>
  <c r="H133" i="1"/>
  <c r="G134" i="1"/>
  <c r="H134" i="1"/>
  <c r="G135" i="1"/>
  <c r="H135" i="1"/>
  <c r="G136" i="1"/>
  <c r="H136" i="1"/>
  <c r="G137" i="1"/>
  <c r="H137" i="1"/>
  <c r="G138" i="1"/>
  <c r="H138" i="1"/>
  <c r="G139" i="1"/>
  <c r="H139" i="1"/>
  <c r="G140" i="1"/>
  <c r="H140" i="1"/>
  <c r="G141" i="1"/>
  <c r="H141" i="1"/>
  <c r="G142" i="1"/>
  <c r="H142" i="1"/>
  <c r="G143" i="1"/>
  <c r="H143" i="1"/>
  <c r="G144" i="1"/>
  <c r="H144" i="1"/>
  <c r="G145" i="1"/>
  <c r="H145" i="1"/>
  <c r="G146" i="1"/>
  <c r="H146" i="1"/>
  <c r="G147" i="1"/>
  <c r="H147" i="1"/>
  <c r="G148" i="1"/>
  <c r="H148" i="1"/>
  <c r="G149" i="1"/>
  <c r="H149" i="1"/>
  <c r="G150" i="1"/>
  <c r="H150" i="1"/>
  <c r="G151" i="1"/>
  <c r="H151" i="1"/>
  <c r="G152" i="1"/>
  <c r="H152" i="1"/>
  <c r="G153" i="1"/>
  <c r="H153" i="1"/>
  <c r="G154" i="1"/>
  <c r="H154" i="1"/>
  <c r="G155" i="1"/>
  <c r="H155" i="1"/>
  <c r="G156" i="1"/>
  <c r="H156" i="1"/>
  <c r="G157" i="1"/>
  <c r="H157" i="1"/>
  <c r="G158" i="1"/>
  <c r="H158" i="1"/>
  <c r="G159" i="1"/>
  <c r="H159" i="1"/>
  <c r="G160" i="1"/>
  <c r="H160" i="1"/>
  <c r="G161" i="1"/>
  <c r="H161" i="1"/>
  <c r="G162" i="1"/>
  <c r="H162" i="1"/>
  <c r="G163" i="1"/>
  <c r="H163" i="1"/>
  <c r="G164" i="1"/>
  <c r="H164" i="1"/>
  <c r="G165" i="1"/>
  <c r="H165" i="1"/>
  <c r="G166" i="1"/>
  <c r="H166" i="1"/>
  <c r="G167" i="1"/>
  <c r="H167" i="1"/>
  <c r="G168" i="1"/>
  <c r="H168" i="1"/>
  <c r="G169" i="1"/>
  <c r="H169" i="1"/>
  <c r="G170" i="1"/>
  <c r="H170" i="1"/>
  <c r="G171" i="1"/>
  <c r="H171" i="1"/>
  <c r="G172" i="1"/>
  <c r="H172" i="1"/>
  <c r="G173" i="1"/>
  <c r="H173" i="1"/>
  <c r="G174" i="1"/>
  <c r="H174" i="1"/>
  <c r="G175" i="1"/>
  <c r="H175" i="1"/>
  <c r="G176" i="1"/>
  <c r="H176" i="1"/>
  <c r="G177" i="1"/>
  <c r="H177" i="1"/>
  <c r="G178" i="1"/>
  <c r="H178" i="1"/>
  <c r="G179" i="1"/>
  <c r="H179" i="1"/>
  <c r="G180" i="1"/>
  <c r="H180" i="1"/>
  <c r="G181" i="1"/>
  <c r="H181" i="1"/>
  <c r="G182" i="1"/>
  <c r="H182" i="1"/>
  <c r="G183" i="1"/>
  <c r="H183" i="1"/>
  <c r="G184" i="1"/>
  <c r="H184" i="1"/>
  <c r="G185" i="1"/>
  <c r="H185" i="1"/>
  <c r="G186" i="1"/>
  <c r="H186" i="1"/>
  <c r="G187" i="1"/>
  <c r="H187" i="1"/>
  <c r="G188" i="1"/>
  <c r="H188" i="1"/>
  <c r="G189" i="1"/>
  <c r="H189" i="1"/>
  <c r="G190" i="1"/>
  <c r="H190" i="1"/>
  <c r="G191" i="1"/>
  <c r="H191" i="1"/>
  <c r="G192" i="1"/>
  <c r="H192" i="1"/>
  <c r="G193" i="1"/>
  <c r="H193" i="1"/>
  <c r="G194" i="1"/>
  <c r="H194" i="1"/>
  <c r="G195" i="1"/>
  <c r="H195" i="1"/>
  <c r="G196" i="1"/>
  <c r="H196" i="1"/>
  <c r="G197" i="1"/>
  <c r="H197" i="1"/>
  <c r="G198" i="1"/>
  <c r="H198" i="1"/>
  <c r="G199" i="1"/>
  <c r="H199" i="1"/>
  <c r="G200" i="1"/>
  <c r="H200" i="1"/>
  <c r="G201" i="1"/>
  <c r="H201" i="1"/>
  <c r="G202" i="1"/>
  <c r="H202" i="1"/>
  <c r="G203" i="1"/>
  <c r="H203" i="1"/>
  <c r="G204" i="1"/>
  <c r="H204" i="1"/>
  <c r="G205" i="1"/>
  <c r="H205" i="1"/>
  <c r="G206" i="1"/>
  <c r="H206" i="1"/>
  <c r="G207" i="1"/>
  <c r="H207" i="1"/>
  <c r="G208" i="1"/>
  <c r="H208" i="1"/>
  <c r="G209" i="1"/>
  <c r="H209" i="1"/>
  <c r="G210" i="1"/>
  <c r="H210" i="1"/>
  <c r="G211" i="1"/>
  <c r="H211" i="1"/>
  <c r="G212" i="1"/>
  <c r="H212" i="1"/>
  <c r="G213" i="1"/>
  <c r="H213" i="1"/>
  <c r="G214" i="1"/>
  <c r="H214" i="1"/>
  <c r="G215" i="1"/>
  <c r="H215" i="1"/>
  <c r="G216" i="1"/>
  <c r="H216" i="1"/>
  <c r="G217" i="1"/>
  <c r="H217" i="1"/>
  <c r="G218" i="1"/>
  <c r="H218" i="1"/>
  <c r="G219" i="1"/>
  <c r="H219" i="1"/>
  <c r="G220" i="1"/>
  <c r="H220" i="1"/>
  <c r="G221" i="1"/>
  <c r="H221" i="1"/>
  <c r="G222" i="1"/>
  <c r="H222" i="1"/>
  <c r="G223" i="1"/>
  <c r="H223" i="1"/>
  <c r="G224" i="1"/>
  <c r="H224" i="1"/>
  <c r="G225" i="1"/>
  <c r="H225" i="1"/>
  <c r="G226" i="1"/>
  <c r="H226" i="1"/>
  <c r="G227" i="1"/>
  <c r="H227" i="1"/>
  <c r="G228" i="1"/>
  <c r="H228" i="1"/>
  <c r="G229" i="1"/>
  <c r="H229" i="1"/>
  <c r="G230" i="1"/>
  <c r="H230" i="1"/>
  <c r="G231" i="1"/>
  <c r="H231" i="1"/>
  <c r="G232" i="1"/>
  <c r="H232" i="1"/>
  <c r="G233" i="1"/>
  <c r="H233" i="1"/>
  <c r="G234" i="1"/>
  <c r="H234" i="1"/>
  <c r="G235" i="1"/>
  <c r="H235" i="1"/>
  <c r="G236" i="1"/>
  <c r="H236" i="1"/>
  <c r="G237" i="1"/>
  <c r="H237" i="1"/>
  <c r="G238" i="1"/>
  <c r="H238" i="1"/>
  <c r="G239" i="1"/>
  <c r="H239" i="1"/>
  <c r="G240" i="1"/>
  <c r="H240" i="1"/>
  <c r="G241" i="1"/>
  <c r="H241" i="1"/>
  <c r="G242" i="1"/>
  <c r="H242" i="1"/>
  <c r="G243" i="1"/>
  <c r="H243" i="1"/>
  <c r="G244" i="1"/>
  <c r="H244" i="1"/>
  <c r="G245" i="1"/>
  <c r="H245" i="1"/>
  <c r="G246" i="1"/>
  <c r="H246" i="1"/>
  <c r="G247" i="1"/>
  <c r="H247" i="1"/>
  <c r="G248" i="1"/>
  <c r="H248" i="1"/>
  <c r="G249" i="1"/>
  <c r="H249" i="1"/>
  <c r="G250" i="1"/>
  <c r="H250" i="1"/>
  <c r="G251" i="1"/>
  <c r="H251" i="1"/>
  <c r="G252" i="1"/>
  <c r="H252" i="1"/>
  <c r="G253" i="1"/>
  <c r="H253" i="1"/>
  <c r="G254" i="1"/>
  <c r="H254" i="1"/>
  <c r="G255" i="1"/>
  <c r="H255" i="1"/>
  <c r="G256" i="1"/>
  <c r="H256" i="1"/>
  <c r="G257" i="1"/>
  <c r="H257" i="1"/>
  <c r="G258" i="1"/>
  <c r="H258" i="1"/>
  <c r="G259" i="1"/>
  <c r="H259" i="1"/>
  <c r="G260" i="1"/>
  <c r="H260" i="1"/>
  <c r="G261" i="1"/>
  <c r="H261" i="1"/>
  <c r="G262" i="1"/>
  <c r="H262" i="1"/>
  <c r="G263" i="1"/>
  <c r="H263" i="1"/>
  <c r="G264" i="1"/>
  <c r="H264" i="1"/>
  <c r="G265" i="1"/>
  <c r="H265" i="1"/>
  <c r="G266" i="1"/>
  <c r="H266" i="1"/>
  <c r="G267" i="1"/>
  <c r="H267" i="1"/>
  <c r="G268" i="1"/>
  <c r="H268" i="1"/>
  <c r="G269" i="1"/>
  <c r="H269" i="1"/>
  <c r="G270" i="1"/>
  <c r="H270" i="1"/>
  <c r="G271" i="1"/>
  <c r="H271" i="1"/>
  <c r="G272" i="1"/>
  <c r="H272" i="1"/>
  <c r="G273" i="1"/>
  <c r="H273" i="1"/>
  <c r="G274" i="1"/>
  <c r="H274" i="1"/>
  <c r="G275" i="1"/>
  <c r="H275" i="1"/>
  <c r="G276" i="1"/>
  <c r="H276" i="1"/>
  <c r="G277" i="1"/>
  <c r="H277" i="1"/>
  <c r="G278" i="1"/>
  <c r="H278" i="1"/>
  <c r="G279" i="1"/>
  <c r="H279" i="1"/>
  <c r="G280" i="1"/>
  <c r="H280" i="1"/>
  <c r="G281" i="1"/>
  <c r="H281" i="1"/>
  <c r="G282" i="1"/>
  <c r="H282" i="1"/>
  <c r="G283" i="1"/>
  <c r="H283" i="1"/>
  <c r="G284" i="1"/>
  <c r="H284" i="1"/>
  <c r="G285" i="1"/>
  <c r="H285" i="1"/>
  <c r="G286" i="1"/>
  <c r="H286" i="1"/>
  <c r="G287" i="1"/>
  <c r="H287" i="1"/>
  <c r="G288" i="1"/>
  <c r="H288" i="1"/>
  <c r="G289" i="1"/>
  <c r="H289" i="1"/>
  <c r="G290" i="1"/>
  <c r="H290" i="1"/>
  <c r="G291" i="1"/>
  <c r="H291" i="1"/>
  <c r="G292" i="1"/>
  <c r="H292" i="1"/>
  <c r="G293" i="1"/>
  <c r="H293" i="1"/>
  <c r="G294" i="1"/>
  <c r="H294" i="1"/>
  <c r="G295" i="1"/>
  <c r="H295" i="1"/>
  <c r="G296" i="1"/>
  <c r="H296" i="1"/>
  <c r="G297" i="1"/>
  <c r="H297" i="1"/>
  <c r="G298" i="1"/>
  <c r="H298" i="1"/>
  <c r="G299" i="1"/>
  <c r="H299" i="1"/>
  <c r="G300" i="1"/>
  <c r="H300" i="1"/>
  <c r="G301" i="1"/>
  <c r="H301" i="1"/>
  <c r="G302" i="1"/>
  <c r="H302" i="1"/>
  <c r="G303" i="1"/>
  <c r="H303" i="1"/>
  <c r="G304" i="1"/>
  <c r="H304" i="1"/>
  <c r="G305" i="1"/>
  <c r="H305" i="1"/>
  <c r="G306" i="1"/>
  <c r="H306" i="1"/>
  <c r="G307" i="1"/>
  <c r="H307" i="1"/>
  <c r="G308" i="1"/>
  <c r="H308" i="1"/>
  <c r="G309" i="1"/>
  <c r="H309" i="1"/>
  <c r="G310" i="1"/>
  <c r="H310" i="1"/>
  <c r="G311" i="1"/>
  <c r="H311" i="1"/>
  <c r="G312" i="1"/>
  <c r="H312" i="1"/>
  <c r="G313" i="1"/>
  <c r="H313" i="1"/>
  <c r="G314" i="1"/>
  <c r="H314" i="1"/>
  <c r="G315" i="1"/>
  <c r="H315" i="1"/>
  <c r="G316" i="1"/>
  <c r="H316" i="1"/>
  <c r="G317" i="1"/>
  <c r="H317" i="1"/>
  <c r="G318" i="1"/>
  <c r="H318" i="1"/>
  <c r="G319" i="1"/>
  <c r="H319" i="1"/>
  <c r="G320" i="1"/>
  <c r="H320" i="1"/>
  <c r="G321" i="1"/>
  <c r="H321" i="1"/>
  <c r="G322" i="1"/>
  <c r="H322" i="1"/>
  <c r="G323" i="1"/>
  <c r="H323" i="1"/>
  <c r="G324" i="1"/>
  <c r="H324" i="1"/>
  <c r="G325" i="1"/>
  <c r="H325" i="1"/>
  <c r="G326" i="1"/>
  <c r="H326" i="1"/>
  <c r="G327" i="1"/>
  <c r="H327" i="1"/>
  <c r="G328" i="1"/>
  <c r="H328" i="1"/>
  <c r="G329" i="1"/>
  <c r="H329" i="1"/>
  <c r="G330" i="1"/>
  <c r="H330" i="1"/>
  <c r="G331" i="1"/>
  <c r="H331" i="1"/>
  <c r="G332" i="1"/>
  <c r="H332" i="1"/>
  <c r="G333" i="1"/>
  <c r="H333" i="1"/>
  <c r="G334" i="1"/>
  <c r="H334" i="1"/>
  <c r="G335" i="1"/>
  <c r="H335" i="1"/>
  <c r="G336" i="1"/>
  <c r="H336" i="1"/>
  <c r="G337" i="1"/>
  <c r="H337" i="1"/>
  <c r="G338" i="1"/>
  <c r="H338" i="1"/>
  <c r="G339" i="1"/>
  <c r="H339" i="1"/>
  <c r="G340" i="1"/>
  <c r="H340" i="1"/>
  <c r="G341" i="1"/>
  <c r="H341" i="1"/>
  <c r="G342" i="1"/>
  <c r="H342" i="1"/>
  <c r="G343" i="1"/>
  <c r="H343" i="1"/>
  <c r="G344" i="1"/>
  <c r="H344" i="1"/>
  <c r="G345" i="1"/>
  <c r="H345" i="1"/>
  <c r="G346" i="1"/>
  <c r="H346" i="1"/>
  <c r="G347" i="1"/>
  <c r="H347" i="1"/>
  <c r="G348" i="1"/>
  <c r="H348" i="1"/>
  <c r="G349" i="1"/>
  <c r="H349" i="1"/>
  <c r="G350" i="1"/>
  <c r="H350" i="1"/>
  <c r="G351" i="1"/>
  <c r="H351" i="1"/>
  <c r="G352" i="1"/>
  <c r="H352" i="1"/>
  <c r="G353" i="1"/>
  <c r="H353" i="1"/>
  <c r="G354" i="1"/>
  <c r="H354" i="1"/>
  <c r="G355" i="1"/>
  <c r="H355" i="1"/>
  <c r="G356" i="1"/>
  <c r="H356" i="1"/>
  <c r="G357" i="1"/>
  <c r="H357" i="1"/>
  <c r="G358" i="1"/>
  <c r="H358" i="1"/>
  <c r="G359" i="1"/>
  <c r="H359" i="1"/>
  <c r="G360" i="1"/>
  <c r="H360" i="1"/>
  <c r="G361" i="1"/>
  <c r="H361" i="1"/>
  <c r="G362" i="1"/>
  <c r="H362" i="1"/>
  <c r="G363" i="1"/>
  <c r="H363" i="1"/>
  <c r="G364" i="1"/>
  <c r="H364" i="1"/>
  <c r="G365" i="1"/>
  <c r="H365" i="1"/>
  <c r="G366" i="1"/>
  <c r="H366" i="1"/>
  <c r="G367" i="1"/>
  <c r="H367" i="1"/>
  <c r="G368" i="1"/>
  <c r="H368" i="1"/>
  <c r="G369" i="1"/>
  <c r="H369" i="1"/>
  <c r="G370" i="1"/>
  <c r="H370" i="1"/>
  <c r="G371" i="1"/>
  <c r="H371" i="1"/>
  <c r="G372" i="1"/>
  <c r="H372" i="1"/>
  <c r="G373" i="1"/>
  <c r="H373" i="1"/>
  <c r="G374" i="1"/>
  <c r="H374" i="1"/>
  <c r="G375" i="1"/>
  <c r="H375" i="1"/>
  <c r="G376" i="1"/>
  <c r="H376" i="1"/>
  <c r="G377" i="1"/>
  <c r="H377" i="1"/>
  <c r="G378" i="1"/>
  <c r="H378" i="1"/>
  <c r="G379" i="1"/>
  <c r="H379" i="1"/>
  <c r="G380" i="1"/>
  <c r="H380" i="1"/>
  <c r="G381" i="1"/>
  <c r="H381" i="1"/>
  <c r="G382" i="1"/>
  <c r="H382" i="1"/>
  <c r="G383" i="1"/>
  <c r="H383" i="1"/>
  <c r="G384" i="1"/>
  <c r="H384" i="1"/>
  <c r="G385" i="1"/>
  <c r="H385" i="1"/>
  <c r="G386" i="1"/>
  <c r="H386" i="1"/>
  <c r="G387" i="1"/>
  <c r="H387" i="1"/>
  <c r="G388" i="1"/>
  <c r="H388" i="1"/>
  <c r="G389" i="1"/>
  <c r="H389" i="1"/>
  <c r="G390" i="1"/>
  <c r="H390" i="1"/>
  <c r="G391" i="1"/>
  <c r="H391" i="1"/>
  <c r="G392" i="1"/>
  <c r="H392" i="1"/>
  <c r="G393" i="1"/>
  <c r="H393" i="1"/>
  <c r="G394" i="1"/>
  <c r="H394" i="1"/>
  <c r="G395" i="1"/>
  <c r="H395" i="1"/>
  <c r="G396" i="1"/>
  <c r="H396" i="1"/>
  <c r="G397" i="1"/>
  <c r="H397" i="1"/>
  <c r="G398" i="1"/>
  <c r="H398" i="1"/>
  <c r="G399" i="1"/>
  <c r="H399" i="1"/>
  <c r="G400" i="1"/>
  <c r="H400" i="1"/>
  <c r="G401" i="1"/>
  <c r="H401" i="1"/>
  <c r="G402" i="1"/>
  <c r="H402" i="1"/>
  <c r="G403" i="1"/>
  <c r="H403" i="1"/>
  <c r="G404" i="1"/>
  <c r="H404" i="1"/>
  <c r="G405" i="1"/>
  <c r="H405" i="1"/>
  <c r="G406" i="1"/>
  <c r="H406" i="1"/>
  <c r="G407" i="1"/>
  <c r="H407" i="1"/>
  <c r="G408" i="1"/>
  <c r="H408" i="1"/>
  <c r="G409" i="1"/>
  <c r="H409" i="1"/>
  <c r="G410" i="1"/>
  <c r="H410" i="1"/>
  <c r="G411" i="1"/>
  <c r="H411" i="1"/>
  <c r="G412" i="1"/>
  <c r="H412" i="1"/>
  <c r="G413" i="1"/>
  <c r="H413" i="1"/>
  <c r="G414" i="1"/>
  <c r="H414" i="1"/>
  <c r="G415" i="1"/>
  <c r="H415" i="1"/>
  <c r="G416" i="1"/>
  <c r="H416" i="1"/>
  <c r="G417" i="1"/>
  <c r="H417" i="1"/>
  <c r="G418" i="1"/>
  <c r="H418" i="1"/>
  <c r="G419" i="1"/>
  <c r="H419" i="1"/>
  <c r="G420" i="1"/>
  <c r="H420" i="1"/>
  <c r="G421" i="1"/>
  <c r="H421" i="1"/>
  <c r="G422" i="1"/>
  <c r="H422" i="1"/>
  <c r="G423" i="1"/>
  <c r="H423" i="1"/>
  <c r="G424" i="1"/>
  <c r="H424" i="1"/>
  <c r="G425" i="1"/>
  <c r="H425" i="1"/>
  <c r="G426" i="1"/>
  <c r="H426" i="1"/>
  <c r="G427" i="1"/>
  <c r="H427" i="1"/>
  <c r="G428" i="1"/>
  <c r="H428" i="1"/>
  <c r="G429" i="1"/>
  <c r="H429" i="1"/>
  <c r="G430" i="1"/>
  <c r="H430" i="1"/>
  <c r="G431" i="1"/>
  <c r="H431" i="1"/>
  <c r="G432" i="1"/>
  <c r="H432" i="1"/>
  <c r="G433" i="1"/>
  <c r="H433" i="1"/>
  <c r="G434" i="1"/>
  <c r="H434" i="1"/>
  <c r="G435" i="1"/>
  <c r="H435" i="1"/>
  <c r="G436" i="1"/>
  <c r="H436" i="1"/>
  <c r="G437" i="1"/>
  <c r="H437" i="1"/>
  <c r="G438" i="1"/>
  <c r="H438" i="1"/>
  <c r="G439" i="1"/>
  <c r="H439" i="1"/>
  <c r="G440" i="1"/>
  <c r="H440" i="1"/>
  <c r="G441" i="1"/>
  <c r="H441" i="1"/>
  <c r="G442" i="1"/>
  <c r="H442" i="1"/>
  <c r="G443" i="1"/>
  <c r="H443" i="1"/>
  <c r="G444" i="1"/>
  <c r="H444" i="1"/>
  <c r="G445" i="1"/>
  <c r="H445" i="1"/>
  <c r="G446" i="1"/>
  <c r="H446" i="1"/>
  <c r="G447" i="1"/>
  <c r="H447" i="1"/>
  <c r="G448" i="1"/>
  <c r="H448" i="1"/>
  <c r="G449" i="1"/>
  <c r="H449" i="1"/>
  <c r="G450" i="1"/>
  <c r="H450" i="1"/>
  <c r="G451" i="1"/>
  <c r="H451" i="1"/>
  <c r="G452" i="1"/>
  <c r="H452" i="1"/>
  <c r="G453" i="1"/>
  <c r="H453" i="1"/>
  <c r="G454" i="1"/>
  <c r="H454" i="1"/>
  <c r="G455" i="1"/>
  <c r="H455" i="1"/>
  <c r="G456" i="1"/>
  <c r="H456" i="1"/>
  <c r="G457" i="1"/>
  <c r="H457" i="1"/>
  <c r="G458" i="1"/>
  <c r="H458" i="1"/>
  <c r="G459" i="1"/>
  <c r="H459" i="1"/>
  <c r="C3" i="1"/>
  <c r="J22" i="3"/>
  <c r="E3" i="1"/>
  <c r="J19" i="3"/>
  <c r="D3" i="1"/>
  <c r="F3" i="1"/>
  <c r="J18" i="3"/>
  <c r="J17" i="3"/>
  <c r="J21" i="3"/>
  <c r="J20" i="3"/>
</calcChain>
</file>

<file path=xl/comments1.xml><?xml version="1.0" encoding="utf-8"?>
<comments xmlns="http://schemas.openxmlformats.org/spreadsheetml/2006/main">
  <authors>
    <author>Matt</author>
  </authors>
  <commentList>
    <comment ref="I20" authorId="0" shapeId="0">
      <text>
        <r>
          <rPr>
            <b/>
            <sz val="9"/>
            <color indexed="81"/>
            <rFont val="Tahoma"/>
            <family val="2"/>
          </rPr>
          <t>Matt:</t>
        </r>
        <r>
          <rPr>
            <sz val="9"/>
            <color indexed="81"/>
            <rFont val="Tahoma"/>
            <family val="2"/>
          </rPr>
          <t xml:space="preserve">
Estimates - Guaranteed</t>
        </r>
      </text>
    </comment>
    <comment ref="I21" authorId="0" shapeId="0">
      <text>
        <r>
          <rPr>
            <b/>
            <sz val="9"/>
            <color indexed="81"/>
            <rFont val="Tahoma"/>
            <family val="2"/>
          </rPr>
          <t>Matt:</t>
        </r>
        <r>
          <rPr>
            <sz val="9"/>
            <color indexed="81"/>
            <rFont val="Tahoma"/>
            <family val="2"/>
          </rPr>
          <t xml:space="preserve">
Guaranteed - Payments</t>
        </r>
      </text>
    </comment>
  </commentList>
</comments>
</file>

<file path=xl/sharedStrings.xml><?xml version="1.0" encoding="utf-8"?>
<sst xmlns="http://schemas.openxmlformats.org/spreadsheetml/2006/main" count="179" uniqueCount="121">
  <si>
    <t>Summary</t>
  </si>
  <si>
    <t>Performance Period</t>
  </si>
  <si>
    <t>Total Payments</t>
  </si>
  <si>
    <t>Total PP Expenses</t>
  </si>
  <si>
    <t>Total Interest</t>
  </si>
  <si>
    <t>Principle</t>
  </si>
  <si>
    <t>Maximium Performance Period</t>
  </si>
  <si>
    <t>Payment Year</t>
  </si>
  <si>
    <t>Payments</t>
  </si>
  <si>
    <t>Performance Period Expenses</t>
  </si>
  <si>
    <t>Debt Service</t>
  </si>
  <si>
    <t>Interest</t>
  </si>
  <si>
    <t>Const Month</t>
  </si>
  <si>
    <t>Const</t>
  </si>
  <si>
    <t>Utility</t>
  </si>
  <si>
    <t>Electricity (kWh)</t>
  </si>
  <si>
    <t>Natural Gas/Propane (Mbtu)</t>
  </si>
  <si>
    <t>Other (Mbtu)</t>
  </si>
  <si>
    <t>Water (kGal)</t>
  </si>
  <si>
    <t>Year 0 Utility Rate ($/Unit)</t>
  </si>
  <si>
    <t>Escalation Rate</t>
  </si>
  <si>
    <t>Overview</t>
  </si>
  <si>
    <t>Cost</t>
  </si>
  <si>
    <t>Energy Savings</t>
  </si>
  <si>
    <t>Cost Savings (Impacts Payment)</t>
  </si>
  <si>
    <t>Comments</t>
  </si>
  <si>
    <t>ECM #</t>
  </si>
  <si>
    <t>ECM Name</t>
  </si>
  <si>
    <t>O&amp;M Savings ($)</t>
  </si>
  <si>
    <t xml:space="preserve">Other Savings ($) </t>
  </si>
  <si>
    <t>Include? (Yes/No)</t>
  </si>
  <si>
    <t>Financial Input</t>
  </si>
  <si>
    <t>Notes</t>
  </si>
  <si>
    <t>ECM Description</t>
  </si>
  <si>
    <t>Total Energy Saving (MBTU)</t>
  </si>
  <si>
    <t>Payback</t>
  </si>
  <si>
    <t>Description</t>
  </si>
  <si>
    <t>Input</t>
  </si>
  <si>
    <t>Yes</t>
  </si>
  <si>
    <t>Additional Cost</t>
  </si>
  <si>
    <t>No</t>
  </si>
  <si>
    <t>Capital Contribution</t>
  </si>
  <si>
    <t>Construction Term (Months)</t>
  </si>
  <si>
    <t>Savings During Construction (%)</t>
  </si>
  <si>
    <t>O&amp;M/R&amp;R</t>
  </si>
  <si>
    <t>Financial Metrics</t>
  </si>
  <si>
    <t>M&amp;V</t>
  </si>
  <si>
    <t>Contract Term (Max of 35 yrs, incl construction)</t>
  </si>
  <si>
    <t>Other</t>
  </si>
  <si>
    <t>Inclusion?</t>
  </si>
  <si>
    <t>Initial Cost</t>
  </si>
  <si>
    <t>Guarantee</t>
  </si>
  <si>
    <t>Proposed Project</t>
  </si>
  <si>
    <t>Total</t>
  </si>
  <si>
    <t>Mark-up Cost</t>
  </si>
  <si>
    <t>Year</t>
  </si>
  <si>
    <t>Electricity</t>
  </si>
  <si>
    <t>Natural Gas</t>
  </si>
  <si>
    <t>Water</t>
  </si>
  <si>
    <t>Escalation Rates</t>
  </si>
  <si>
    <t>Guaranteed Savings</t>
  </si>
  <si>
    <t>Performance Period Costs</t>
  </si>
  <si>
    <t>Payment</t>
  </si>
  <si>
    <t>MBTU</t>
  </si>
  <si>
    <t>Savings $</t>
  </si>
  <si>
    <t>Electric$</t>
  </si>
  <si>
    <t>NG $</t>
  </si>
  <si>
    <t>Other$</t>
  </si>
  <si>
    <t>Water $</t>
  </si>
  <si>
    <t>ECM Information (do not edit)</t>
  </si>
  <si>
    <t>Level of O&amp;M/R&amp;R (%)</t>
  </si>
  <si>
    <t>Level of M&amp;V (%)</t>
  </si>
  <si>
    <t>Guaranteed Savings (%)</t>
  </si>
  <si>
    <t>PP Markup (%)</t>
  </si>
  <si>
    <t>Approximate Interest Rate (%)</t>
  </si>
  <si>
    <t xml:space="preserve">Potential Retained Savings </t>
  </si>
  <si>
    <t xml:space="preserve">Potential Non-Guaranteed Savings </t>
  </si>
  <si>
    <t>Agency Retained Savings (%)</t>
  </si>
  <si>
    <t>Project term limit is 35 years</t>
  </si>
  <si>
    <t>Central Steam Plant Upgrades</t>
  </si>
  <si>
    <t>Chiller Plant Upgrades</t>
  </si>
  <si>
    <t>Steam Distribution Repair</t>
  </si>
  <si>
    <t>Fuel  Conversion</t>
  </si>
  <si>
    <t>Interior Lighting</t>
  </si>
  <si>
    <t>Control System Upgrades</t>
  </si>
  <si>
    <t>Water Improvements</t>
  </si>
  <si>
    <t>HVAC Retrofits</t>
  </si>
  <si>
    <t>Building Envelope Improvements</t>
  </si>
  <si>
    <t>PV System</t>
  </si>
  <si>
    <t>•This document is authored and provided by Verus Resource Management (VRM).</t>
  </si>
  <si>
    <t>•This document was prepared is to be used as a reference and Verus Resource Management, nor any of their employees, makes any warranty, express or implied, or assumes any legal liability or responsibility for the accuracy, completeness, or usefulness of any information, apparatus, product, or process disclosed, or represents that its use would not infringe privately owned rights. </t>
  </si>
  <si>
    <t>Project Financial Variable Analysis Tool</t>
  </si>
  <si>
    <t>Background</t>
  </si>
  <si>
    <t>Definitions Library</t>
  </si>
  <si>
    <t>Disclaimer</t>
  </si>
  <si>
    <t>• Total PP Expenses: Total cost of performance period expenses to the project owner (includes M&amp;V, O&amp;M, R&amp;R, and associated mark-ups)</t>
  </si>
  <si>
    <t>• Potential Non-Guaranteed Savings: The difference in the estimated and guaranteed savings, which are to be 'retained' by the project owner</t>
  </si>
  <si>
    <t>• Potential Retained Savings: Savings that are guaranteed but not applied to annual payments and are instead retained by the project owner.</t>
  </si>
  <si>
    <t>• Total Interest: Total accrued interest over the life of the project.</t>
  </si>
  <si>
    <t>• Total Payments: The total cost to the project owner over the life of the project.</t>
  </si>
  <si>
    <t>• Guaranteed Savings: The percent of the estimated savings that will be guaranteed by the Contractor.</t>
  </si>
  <si>
    <t>• Agency Retained Savings: Any annual guaranteed savings the agency wishes to retain, which will come in the form of a reduced payment.</t>
  </si>
  <si>
    <t>• PP Markup: The estimated mark-up the contractor will apply to the performance period costs (includes M&amp;V, O&amp;M, R&amp;R).</t>
  </si>
  <si>
    <t>• Savings During Construction: The percent of savings to be claimed (and applied as payments) during construction.</t>
  </si>
  <si>
    <t>• Construction Term: The length of construction in months.</t>
  </si>
  <si>
    <t>• Approximate Interest Rate: Estimate of the interest rate to be applied to the project.</t>
  </si>
  <si>
    <t>• Capital Contribution: Any capital used to reduce the financed amount by partially paying upfront.</t>
  </si>
  <si>
    <t>• Additional Cost: Additional costs beyond ECMs to be financed.</t>
  </si>
  <si>
    <t>Construction terms under 1 year (12 months) or over 2 (24 months) will experience approximate construction escalation rates</t>
  </si>
  <si>
    <t>Payback is based on mark-up and guaranteed savings</t>
  </si>
  <si>
    <t>Level of O&amp;M/R&amp;R can be approximated around  0.5%-10%, depending on ECM mix</t>
  </si>
  <si>
    <t>Level of M&amp;V can be approximated around 0.1%-3%, depending on ECM mix</t>
  </si>
  <si>
    <t>• Contract Term: Length of the contract from award to final payment.</t>
  </si>
  <si>
    <t>Alternatively financed energy projects require complicated, long term contracts. These contracts include a large number of variables that can impact when, how much, and how long the project owner will pay for the project. Understanding the correlation and connection between these variables is important, and this tool was designed to help outline and showcase those connections.</t>
  </si>
  <si>
    <t>• Implement  Markup: The estimated mark-up the contractor will apply to the implementation of  the project (includes design, labor, equipment, materials).</t>
  </si>
  <si>
    <t>• Level of O&amp;M/R&amp;R: Approximate annual cost of Operations and Maintenance and Repair and Replacement provided by the Contractor, as a percentage of the implementation cost</t>
  </si>
  <si>
    <t>• Level of M&amp;V: Approximate annual cost of Measurement and Verification provided by the Contractor, as a percentage of the implementation cost</t>
  </si>
  <si>
    <t>•It is recognized that disclosure of this information is provided under the following conditions and warnings: (1) this information has been prepared for reference purposes only; (2) this information consist of forecasts, estimates or assumptions made on a best-efforts basis, based upon present expectations.</t>
  </si>
  <si>
    <t>Implement  Markup (%)</t>
  </si>
  <si>
    <t>Locked fields are automatically populated and should not be deleted or edited</t>
  </si>
  <si>
    <t>Some cellls are locked to protect the integrity of the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</si>
</sst>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164" formatCode="0.0"/>
    <numFmt numFmtId="165" formatCode="_(&quot;$&quot;* #,##0_);_(&quot;$&quot;* \(#,##0\);_(&quot;$&quot;* &quot;-&quot;??_);_(@_)"/>
    <numFmt numFmtId="166" formatCode="&quot;$&quot;#,##0.000"/>
    <numFmt numFmtId="167" formatCode="&quot;$&quot;#,##0"/>
    <numFmt numFmtId="168" formatCode="0.000%"/>
    <numFmt numFmtId="169" formatCode="0.0%"/>
    <numFmt numFmtId="170" formatCode="0.0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sz val="16"/>
      <color theme="0"/>
      <name val="Calibri"/>
      <family val="2"/>
      <scheme val="minor"/>
    </font>
    <font>
      <sz val="11"/>
      <name val="Calibri Light"/>
      <family val="2"/>
      <scheme val="major"/>
    </font>
    <font>
      <sz val="11"/>
      <color theme="0"/>
      <name val="Calibri Light"/>
      <family val="2"/>
      <scheme val="major"/>
    </font>
    <font>
      <b/>
      <sz val="11"/>
      <color theme="1"/>
      <name val="Calibri Light"/>
      <family val="2"/>
      <scheme val="major"/>
    </font>
    <font>
      <b/>
      <sz val="11"/>
      <color theme="0"/>
      <name val="Calibri Light"/>
      <family val="2"/>
      <scheme val="major"/>
    </font>
    <font>
      <sz val="11"/>
      <color theme="1"/>
      <name val="Calibri Light"/>
      <family val="2"/>
      <scheme val="major"/>
    </font>
    <font>
      <b/>
      <sz val="12"/>
      <color theme="0"/>
      <name val="Calibri Light"/>
      <family val="2"/>
      <scheme val="major"/>
    </font>
    <font>
      <sz val="12"/>
      <name val="Calibri Light"/>
      <family val="2"/>
      <scheme val="major"/>
    </font>
    <font>
      <sz val="12"/>
      <color theme="1"/>
      <name val="Calibri Light"/>
      <family val="2"/>
      <scheme val="major"/>
    </font>
    <font>
      <sz val="9"/>
      <color indexed="81"/>
      <name val="Tahoma"/>
      <family val="2"/>
    </font>
    <font>
      <b/>
      <sz val="9"/>
      <color indexed="81"/>
      <name val="Tahoma"/>
      <family val="2"/>
    </font>
    <font>
      <b/>
      <sz val="18"/>
      <color theme="0"/>
      <name val="Calibri"/>
      <family val="2"/>
      <scheme val="minor"/>
    </font>
    <font>
      <b/>
      <sz val="12"/>
      <color theme="0"/>
      <name val="Calibri"/>
      <family val="2"/>
      <scheme val="minor"/>
    </font>
  </fonts>
  <fills count="17">
    <fill>
      <patternFill patternType="none"/>
    </fill>
    <fill>
      <patternFill patternType="gray125"/>
    </fill>
    <fill>
      <patternFill patternType="solid">
        <fgColor theme="5"/>
      </patternFill>
    </fill>
    <fill>
      <patternFill patternType="solid">
        <fgColor theme="5" tint="0.79998168889431442"/>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8" tint="0.79998168889431442"/>
        <bgColor indexed="64"/>
      </patternFill>
    </fill>
  </fills>
  <borders count="3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top/>
      <bottom/>
      <diagonal/>
    </border>
    <border>
      <left/>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right style="medium">
        <color auto="1"/>
      </right>
      <top/>
      <bottom/>
      <diagonal/>
    </border>
    <border>
      <left style="medium">
        <color auto="1"/>
      </left>
      <right/>
      <top/>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indexed="64"/>
      </right>
      <top style="medium">
        <color auto="1"/>
      </top>
      <bottom style="medium">
        <color indexed="64"/>
      </bottom>
      <diagonal/>
    </border>
  </borders>
  <cellStyleXfs count="17">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169">
    <xf numFmtId="0" fontId="0" fillId="0" borderId="0" xfId="0"/>
    <xf numFmtId="0" fontId="4" fillId="0" borderId="0" xfId="0" applyFont="1"/>
    <xf numFmtId="0" fontId="3" fillId="9" borderId="13" xfId="10" applyBorder="1" applyAlignment="1">
      <alignment horizontal="center" vertical="center" wrapText="1"/>
    </xf>
    <xf numFmtId="0" fontId="1" fillId="11" borderId="1" xfId="12" applyFont="1" applyBorder="1" applyAlignment="1">
      <alignment horizontal="center" vertical="center" wrapText="1"/>
    </xf>
    <xf numFmtId="0" fontId="1" fillId="11" borderId="2" xfId="12" applyFont="1" applyBorder="1" applyAlignment="1">
      <alignment horizontal="center" vertical="center" wrapText="1"/>
    </xf>
    <xf numFmtId="0" fontId="1" fillId="11" borderId="14" xfId="12" applyFont="1" applyBorder="1" applyAlignment="1">
      <alignment horizontal="center" vertical="center" wrapText="1"/>
    </xf>
    <xf numFmtId="166" fontId="5" fillId="0" borderId="0" xfId="1" applyNumberFormat="1" applyFont="1" applyBorder="1" applyAlignment="1" applyProtection="1">
      <alignment horizontal="center" vertical="center"/>
      <protection locked="0"/>
    </xf>
    <xf numFmtId="166" fontId="5" fillId="0" borderId="8" xfId="1" applyNumberFormat="1" applyFont="1" applyBorder="1" applyAlignment="1" applyProtection="1">
      <alignment horizontal="center" vertical="center"/>
      <protection locked="0"/>
    </xf>
    <xf numFmtId="166" fontId="5" fillId="0" borderId="15" xfId="1" applyNumberFormat="1" applyFont="1" applyBorder="1" applyAlignment="1" applyProtection="1">
      <alignment horizontal="center" vertical="center"/>
      <protection locked="0"/>
    </xf>
    <xf numFmtId="0" fontId="5" fillId="0" borderId="0" xfId="0" applyFont="1"/>
    <xf numFmtId="0" fontId="5" fillId="0" borderId="0" xfId="0" applyFont="1" applyAlignment="1">
      <alignment horizontal="center"/>
    </xf>
    <xf numFmtId="0" fontId="2" fillId="11" borderId="22" xfId="12" applyFont="1" applyBorder="1" applyAlignment="1">
      <alignment horizontal="center" vertical="center" wrapText="1"/>
    </xf>
    <xf numFmtId="0" fontId="2" fillId="11" borderId="23" xfId="12" applyFont="1" applyBorder="1" applyAlignment="1">
      <alignment horizontal="center" vertical="center" wrapText="1"/>
    </xf>
    <xf numFmtId="0" fontId="2" fillId="11" borderId="21" xfId="12" applyFont="1" applyBorder="1" applyAlignment="1">
      <alignment horizontal="center" vertical="center" wrapText="1"/>
    </xf>
    <xf numFmtId="0" fontId="2" fillId="11" borderId="19" xfId="12" applyFont="1" applyBorder="1" applyAlignment="1">
      <alignment horizontal="center" vertical="center" wrapText="1"/>
    </xf>
    <xf numFmtId="0" fontId="4" fillId="0" borderId="4" xfId="0" applyFont="1" applyBorder="1" applyAlignment="1" applyProtection="1">
      <alignment horizontal="center"/>
      <protection locked="0"/>
    </xf>
    <xf numFmtId="0" fontId="4" fillId="0" borderId="15" xfId="0" applyFont="1" applyBorder="1" applyAlignment="1" applyProtection="1">
      <alignment horizontal="left"/>
      <protection locked="0"/>
    </xf>
    <xf numFmtId="167" fontId="4" fillId="0" borderId="24" xfId="0" applyNumberFormat="1" applyFont="1" applyBorder="1" applyAlignment="1" applyProtection="1">
      <alignment horizontal="center" vertical="center"/>
      <protection locked="0"/>
    </xf>
    <xf numFmtId="3" fontId="4" fillId="0" borderId="11" xfId="0" applyNumberFormat="1" applyFont="1" applyFill="1" applyBorder="1" applyAlignment="1" applyProtection="1">
      <alignment horizontal="center" vertical="center"/>
      <protection locked="0"/>
    </xf>
    <xf numFmtId="3" fontId="4" fillId="0" borderId="11" xfId="0" applyNumberFormat="1" applyFont="1" applyBorder="1" applyAlignment="1" applyProtection="1">
      <alignment horizontal="center" vertical="center"/>
      <protection locked="0"/>
    </xf>
    <xf numFmtId="167" fontId="4" fillId="0" borderId="25" xfId="0" applyNumberFormat="1" applyFont="1" applyBorder="1" applyAlignment="1" applyProtection="1">
      <alignment horizontal="center" vertical="center"/>
      <protection locked="0"/>
    </xf>
    <xf numFmtId="167" fontId="4" fillId="0" borderId="12" xfId="0" applyNumberFormat="1" applyFont="1" applyBorder="1" applyAlignment="1" applyProtection="1">
      <alignment horizontal="center" vertical="center"/>
      <protection locked="0"/>
    </xf>
    <xf numFmtId="0" fontId="4" fillId="0" borderId="24" xfId="0" applyNumberFormat="1" applyFont="1" applyBorder="1" applyAlignment="1" applyProtection="1">
      <alignment horizontal="center" vertical="center"/>
      <protection locked="0"/>
    </xf>
    <xf numFmtId="0" fontId="1" fillId="10" borderId="25" xfId="11" applyFont="1" applyBorder="1" applyAlignment="1" applyProtection="1">
      <alignment horizontal="center"/>
      <protection locked="0"/>
    </xf>
    <xf numFmtId="0" fontId="1" fillId="10" borderId="18" xfId="11" applyFont="1" applyBorder="1" applyAlignment="1" applyProtection="1">
      <alignment horizontal="left"/>
      <protection locked="0"/>
    </xf>
    <xf numFmtId="167" fontId="1" fillId="10" borderId="24" xfId="11" applyNumberFormat="1" applyFont="1" applyBorder="1" applyAlignment="1" applyProtection="1">
      <alignment horizontal="center" vertical="center"/>
      <protection locked="0"/>
    </xf>
    <xf numFmtId="3" fontId="1" fillId="10" borderId="11" xfId="11" applyNumberFormat="1" applyFont="1" applyBorder="1" applyAlignment="1" applyProtection="1">
      <alignment horizontal="center" vertical="center"/>
      <protection locked="0"/>
    </xf>
    <xf numFmtId="167" fontId="1" fillId="10" borderId="25" xfId="11" applyNumberFormat="1" applyFont="1" applyBorder="1" applyAlignment="1" applyProtection="1">
      <alignment horizontal="center" vertical="center"/>
      <protection locked="0"/>
    </xf>
    <xf numFmtId="167" fontId="1" fillId="10" borderId="12" xfId="11" applyNumberFormat="1" applyFont="1" applyBorder="1" applyAlignment="1" applyProtection="1">
      <alignment horizontal="center" vertical="center"/>
      <protection locked="0"/>
    </xf>
    <xf numFmtId="0" fontId="1" fillId="10" borderId="24" xfId="11" applyNumberFormat="1" applyFont="1" applyBorder="1" applyAlignment="1" applyProtection="1">
      <alignment horizontal="center" vertical="center"/>
      <protection locked="0"/>
    </xf>
    <xf numFmtId="0" fontId="4" fillId="0" borderId="25" xfId="0" applyFont="1" applyBorder="1" applyAlignment="1" applyProtection="1">
      <alignment horizontal="center"/>
      <protection locked="0"/>
    </xf>
    <xf numFmtId="0" fontId="4" fillId="0" borderId="18" xfId="0" applyFont="1" applyBorder="1" applyAlignment="1" applyProtection="1">
      <alignment horizontal="left"/>
      <protection locked="0"/>
    </xf>
    <xf numFmtId="3" fontId="1" fillId="10" borderId="25" xfId="11" applyNumberFormat="1" applyFont="1" applyBorder="1" applyAlignment="1" applyProtection="1">
      <alignment horizontal="center" vertical="center"/>
      <protection locked="0"/>
    </xf>
    <xf numFmtId="3" fontId="1" fillId="10" borderId="24" xfId="11" applyNumberFormat="1" applyFont="1" applyBorder="1" applyAlignment="1" applyProtection="1">
      <alignment horizontal="center" vertical="center"/>
      <protection locked="0"/>
    </xf>
    <xf numFmtId="3" fontId="4" fillId="0" borderId="25" xfId="0" applyNumberFormat="1" applyFont="1" applyBorder="1" applyAlignment="1" applyProtection="1">
      <alignment horizontal="center" vertical="center"/>
      <protection locked="0"/>
    </xf>
    <xf numFmtId="3" fontId="4" fillId="0" borderId="24" xfId="0" applyNumberFormat="1" applyFont="1" applyBorder="1" applyAlignment="1" applyProtection="1">
      <alignment horizontal="center" vertical="center"/>
      <protection locked="0"/>
    </xf>
    <xf numFmtId="0" fontId="4" fillId="0" borderId="22" xfId="0" applyFont="1" applyBorder="1" applyAlignment="1" applyProtection="1">
      <alignment horizontal="center"/>
      <protection locked="0"/>
    </xf>
    <xf numFmtId="0" fontId="4" fillId="0" borderId="23" xfId="0" applyFont="1" applyBorder="1" applyAlignment="1" applyProtection="1">
      <alignment horizontal="left"/>
      <protection locked="0"/>
    </xf>
    <xf numFmtId="167" fontId="4" fillId="0" borderId="21" xfId="0" applyNumberFormat="1" applyFont="1" applyBorder="1" applyAlignment="1" applyProtection="1">
      <alignment horizontal="center" vertical="center"/>
      <protection locked="0"/>
    </xf>
    <xf numFmtId="3" fontId="4" fillId="0" borderId="22" xfId="0" applyNumberFormat="1" applyFont="1" applyBorder="1" applyAlignment="1" applyProtection="1">
      <alignment horizontal="center" vertical="center"/>
      <protection locked="0"/>
    </xf>
    <xf numFmtId="3" fontId="4" fillId="0" borderId="20" xfId="0" applyNumberFormat="1" applyFont="1" applyBorder="1" applyAlignment="1" applyProtection="1">
      <alignment horizontal="center" vertical="center"/>
      <protection locked="0"/>
    </xf>
    <xf numFmtId="3" fontId="4" fillId="0" borderId="21" xfId="0" applyNumberFormat="1" applyFont="1" applyBorder="1" applyAlignment="1" applyProtection="1">
      <alignment horizontal="center" vertical="center"/>
      <protection locked="0"/>
    </xf>
    <xf numFmtId="167" fontId="4" fillId="0" borderId="22" xfId="0" applyNumberFormat="1" applyFont="1" applyBorder="1" applyAlignment="1" applyProtection="1">
      <alignment horizontal="center" vertical="center"/>
      <protection locked="0"/>
    </xf>
    <xf numFmtId="167" fontId="4" fillId="0" borderId="26" xfId="0" applyNumberFormat="1" applyFont="1" applyBorder="1" applyAlignment="1" applyProtection="1">
      <alignment horizontal="center" vertical="center"/>
      <protection locked="0"/>
    </xf>
    <xf numFmtId="0" fontId="4" fillId="0" borderId="21" xfId="0" applyNumberFormat="1" applyFont="1" applyBorder="1" applyAlignment="1" applyProtection="1">
      <alignment horizontal="center" vertical="center"/>
      <protection locked="0"/>
    </xf>
    <xf numFmtId="0" fontId="7" fillId="0" borderId="0" xfId="0" applyFont="1"/>
    <xf numFmtId="0" fontId="11" fillId="6" borderId="4" xfId="7" applyFont="1" applyBorder="1" applyAlignment="1">
      <alignment horizontal="center" vertical="center" wrapText="1"/>
    </xf>
    <xf numFmtId="0" fontId="11" fillId="6" borderId="5" xfId="7" applyFont="1" applyBorder="1" applyAlignment="1">
      <alignment horizontal="center" vertical="center" wrapText="1"/>
    </xf>
    <xf numFmtId="0" fontId="11" fillId="6" borderId="6" xfId="7" applyFont="1" applyBorder="1" applyAlignment="1">
      <alignment horizontal="center" vertical="center" wrapText="1"/>
    </xf>
    <xf numFmtId="0" fontId="7" fillId="0" borderId="0" xfId="0" applyFont="1" applyAlignment="1">
      <alignment horizontal="center" vertical="center" wrapText="1"/>
    </xf>
    <xf numFmtId="0" fontId="9" fillId="11" borderId="13" xfId="12" applyFont="1" applyBorder="1" applyAlignment="1">
      <alignment horizontal="center" vertical="center" wrapText="1"/>
    </xf>
    <xf numFmtId="0" fontId="9" fillId="11" borderId="24" xfId="12" applyFont="1" applyBorder="1" applyAlignment="1">
      <alignment horizontal="center" vertical="center" wrapText="1"/>
    </xf>
    <xf numFmtId="0" fontId="7" fillId="0" borderId="4" xfId="0" applyFont="1" applyBorder="1"/>
    <xf numFmtId="0" fontId="7" fillId="0" borderId="6" xfId="0" applyFont="1" applyBorder="1"/>
    <xf numFmtId="0" fontId="7" fillId="16" borderId="14" xfId="0" applyFont="1" applyFill="1" applyBorder="1" applyAlignment="1">
      <alignment horizontal="center"/>
    </xf>
    <xf numFmtId="167" fontId="7" fillId="16" borderId="14" xfId="0" applyNumberFormat="1" applyFont="1" applyFill="1" applyBorder="1" applyAlignment="1" applyProtection="1">
      <alignment horizontal="center"/>
      <protection locked="0"/>
    </xf>
    <xf numFmtId="0" fontId="11" fillId="5" borderId="0" xfId="6" applyNumberFormat="1" applyFont="1" applyBorder="1" applyAlignment="1">
      <alignment horizontal="center"/>
    </xf>
    <xf numFmtId="167" fontId="11" fillId="5" borderId="25" xfId="6" applyNumberFormat="1" applyFont="1" applyBorder="1" applyAlignment="1">
      <alignment horizontal="center"/>
    </xf>
    <xf numFmtId="3" fontId="11" fillId="5" borderId="24" xfId="6" applyNumberFormat="1" applyFont="1" applyBorder="1" applyAlignment="1">
      <alignment horizontal="center"/>
    </xf>
    <xf numFmtId="0" fontId="11" fillId="0" borderId="17" xfId="11" applyFont="1" applyFill="1" applyBorder="1" applyAlignment="1">
      <alignment horizontal="center"/>
    </xf>
    <xf numFmtId="167" fontId="11" fillId="0" borderId="17" xfId="11" applyNumberFormat="1" applyFont="1" applyFill="1" applyBorder="1" applyAlignment="1" applyProtection="1">
      <alignment horizontal="center"/>
      <protection locked="0"/>
    </xf>
    <xf numFmtId="0" fontId="7" fillId="0" borderId="25" xfId="0" applyFont="1" applyBorder="1"/>
    <xf numFmtId="0" fontId="7" fillId="0" borderId="24" xfId="0" applyFont="1" applyBorder="1"/>
    <xf numFmtId="0" fontId="7" fillId="0" borderId="0" xfId="0" applyNumberFormat="1" applyFont="1" applyBorder="1" applyAlignment="1">
      <alignment horizontal="center"/>
    </xf>
    <xf numFmtId="167" fontId="7" fillId="0" borderId="25" xfId="0" applyNumberFormat="1" applyFont="1" applyBorder="1" applyAlignment="1">
      <alignment horizontal="center"/>
    </xf>
    <xf numFmtId="3" fontId="7" fillId="0" borderId="24" xfId="0" applyNumberFormat="1" applyFont="1" applyBorder="1" applyAlignment="1">
      <alignment horizontal="center"/>
    </xf>
    <xf numFmtId="0" fontId="7" fillId="0" borderId="17" xfId="0" applyFont="1" applyFill="1" applyBorder="1" applyAlignment="1">
      <alignment horizontal="center"/>
    </xf>
    <xf numFmtId="0" fontId="7" fillId="16" borderId="17" xfId="0" applyFont="1" applyFill="1" applyBorder="1" applyAlignment="1">
      <alignment horizontal="center"/>
    </xf>
    <xf numFmtId="9" fontId="7" fillId="16" borderId="17" xfId="2" applyFont="1" applyFill="1" applyBorder="1" applyAlignment="1" applyProtection="1">
      <alignment horizontal="center"/>
      <protection locked="0"/>
    </xf>
    <xf numFmtId="0" fontId="7" fillId="0" borderId="22" xfId="0" applyFont="1" applyBorder="1"/>
    <xf numFmtId="0" fontId="7" fillId="0" borderId="21" xfId="0" applyFont="1" applyBorder="1"/>
    <xf numFmtId="0" fontId="13" fillId="0" borderId="29" xfId="0" applyFont="1" applyBorder="1" applyAlignment="1">
      <alignment horizontal="center"/>
    </xf>
    <xf numFmtId="0" fontId="14" fillId="3" borderId="29" xfId="4" applyFont="1" applyBorder="1" applyAlignment="1">
      <alignment horizontal="center"/>
    </xf>
    <xf numFmtId="0" fontId="14" fillId="3" borderId="31" xfId="4" applyFont="1" applyBorder="1" applyAlignment="1">
      <alignment horizontal="center"/>
    </xf>
    <xf numFmtId="0" fontId="7" fillId="0" borderId="19" xfId="0" applyNumberFormat="1" applyFont="1" applyBorder="1" applyAlignment="1">
      <alignment horizontal="center"/>
    </xf>
    <xf numFmtId="167" fontId="7" fillId="0" borderId="22" xfId="0" applyNumberFormat="1" applyFont="1" applyBorder="1" applyAlignment="1">
      <alignment horizontal="center"/>
    </xf>
    <xf numFmtId="3" fontId="7" fillId="0" borderId="21" xfId="0" applyNumberFormat="1" applyFont="1" applyBorder="1" applyAlignment="1">
      <alignment horizontal="center"/>
    </xf>
    <xf numFmtId="0" fontId="7" fillId="0" borderId="17" xfId="0" applyFont="1" applyFill="1" applyBorder="1" applyAlignment="1" applyProtection="1">
      <alignment horizontal="center"/>
      <protection locked="0"/>
    </xf>
    <xf numFmtId="0" fontId="6" fillId="9" borderId="4" xfId="10" applyFont="1" applyBorder="1" applyAlignment="1">
      <alignment vertical="center"/>
    </xf>
    <xf numFmtId="0" fontId="6" fillId="9" borderId="5" xfId="10" applyFont="1" applyBorder="1" applyAlignment="1">
      <alignment vertical="center"/>
    </xf>
    <xf numFmtId="0" fontId="6" fillId="9" borderId="6" xfId="10" applyFont="1" applyBorder="1" applyAlignment="1">
      <alignment vertical="center"/>
    </xf>
    <xf numFmtId="0" fontId="7" fillId="0" borderId="24" xfId="0" applyFont="1" applyBorder="1" applyAlignment="1" applyProtection="1">
      <alignment horizontal="center"/>
      <protection locked="0"/>
    </xf>
    <xf numFmtId="0" fontId="11" fillId="10" borderId="24" xfId="11" applyFont="1" applyBorder="1" applyAlignment="1" applyProtection="1">
      <alignment horizontal="center"/>
      <protection locked="0"/>
    </xf>
    <xf numFmtId="0" fontId="7" fillId="0" borderId="4" xfId="0" applyNumberFormat="1" applyFont="1" applyBorder="1" applyAlignment="1">
      <alignment horizontal="center"/>
    </xf>
    <xf numFmtId="0" fontId="7" fillId="0" borderId="5" xfId="0" applyNumberFormat="1" applyFont="1" applyBorder="1" applyAlignment="1">
      <alignment horizontal="center"/>
    </xf>
    <xf numFmtId="167" fontId="7" fillId="0" borderId="4" xfId="0" applyNumberFormat="1" applyFont="1" applyBorder="1" applyAlignment="1">
      <alignment horizontal="center"/>
    </xf>
    <xf numFmtId="3" fontId="7" fillId="0" borderId="6" xfId="0" applyNumberFormat="1" applyFont="1" applyBorder="1" applyAlignment="1">
      <alignment horizontal="center"/>
    </xf>
    <xf numFmtId="2" fontId="7" fillId="0" borderId="6" xfId="0" applyNumberFormat="1" applyFont="1" applyBorder="1" applyAlignment="1">
      <alignment horizontal="center"/>
    </xf>
    <xf numFmtId="0" fontId="7" fillId="0" borderId="25" xfId="0" applyNumberFormat="1" applyFont="1" applyBorder="1" applyAlignment="1">
      <alignment horizontal="center"/>
    </xf>
    <xf numFmtId="2" fontId="7" fillId="0" borderId="24" xfId="0" applyNumberFormat="1" applyFont="1" applyBorder="1" applyAlignment="1">
      <alignment horizontal="center"/>
    </xf>
    <xf numFmtId="0" fontId="7" fillId="0" borderId="22" xfId="0" applyNumberFormat="1" applyFont="1" applyBorder="1" applyAlignment="1">
      <alignment horizontal="center"/>
    </xf>
    <xf numFmtId="2" fontId="7" fillId="0" borderId="21" xfId="0" applyNumberFormat="1" applyFont="1" applyBorder="1" applyAlignment="1">
      <alignment horizontal="center"/>
    </xf>
    <xf numFmtId="0" fontId="11" fillId="5" borderId="25" xfId="6" applyNumberFormat="1" applyFont="1" applyBorder="1" applyAlignment="1">
      <alignment horizontal="center"/>
    </xf>
    <xf numFmtId="2" fontId="11" fillId="5" borderId="24" xfId="6" applyNumberFormat="1" applyFont="1" applyBorder="1" applyAlignment="1">
      <alignment horizontal="center"/>
    </xf>
    <xf numFmtId="9" fontId="7" fillId="0" borderId="17" xfId="2" applyFont="1" applyFill="1" applyBorder="1" applyAlignment="1" applyProtection="1">
      <alignment horizontal="center"/>
      <protection locked="0"/>
    </xf>
    <xf numFmtId="169" fontId="7" fillId="0" borderId="17" xfId="2" applyNumberFormat="1" applyFont="1" applyFill="1" applyBorder="1" applyAlignment="1" applyProtection="1">
      <alignment horizontal="center"/>
      <protection locked="0"/>
    </xf>
    <xf numFmtId="0" fontId="7" fillId="16" borderId="16" xfId="0" applyFont="1" applyFill="1" applyBorder="1" applyAlignment="1">
      <alignment horizontal="center"/>
    </xf>
    <xf numFmtId="0" fontId="11" fillId="10" borderId="17" xfId="11" applyFont="1" applyBorder="1" applyAlignment="1">
      <alignment horizontal="center"/>
    </xf>
    <xf numFmtId="168" fontId="11" fillId="10" borderId="17" xfId="11" applyNumberFormat="1" applyFont="1" applyBorder="1" applyAlignment="1" applyProtection="1">
      <alignment horizontal="center"/>
      <protection locked="0"/>
    </xf>
    <xf numFmtId="0" fontId="11" fillId="8" borderId="25" xfId="9" applyFont="1" applyBorder="1"/>
    <xf numFmtId="0" fontId="11" fillId="8" borderId="24" xfId="9" applyFont="1" applyBorder="1"/>
    <xf numFmtId="10" fontId="7" fillId="16" borderId="16" xfId="2" applyNumberFormat="1" applyFont="1" applyFill="1" applyBorder="1" applyAlignment="1" applyProtection="1">
      <alignment horizontal="center"/>
      <protection locked="0"/>
    </xf>
    <xf numFmtId="165" fontId="13" fillId="0" borderId="30" xfId="1" applyNumberFormat="1" applyFont="1" applyBorder="1" applyAlignment="1" applyProtection="1">
      <alignment horizontal="center" vertical="center"/>
    </xf>
    <xf numFmtId="165" fontId="14" fillId="3" borderId="30" xfId="4" applyNumberFormat="1" applyFont="1" applyBorder="1" applyAlignment="1" applyProtection="1">
      <alignment horizontal="center" vertical="center"/>
    </xf>
    <xf numFmtId="165" fontId="14" fillId="3" borderId="30" xfId="1" applyNumberFormat="1" applyFont="1" applyFill="1" applyBorder="1" applyAlignment="1" applyProtection="1">
      <alignment horizontal="center" vertical="center"/>
    </xf>
    <xf numFmtId="164" fontId="14" fillId="3" borderId="32" xfId="4" applyNumberFormat="1" applyFont="1" applyBorder="1" applyAlignment="1" applyProtection="1">
      <alignment horizontal="center" vertical="center"/>
    </xf>
    <xf numFmtId="0" fontId="0" fillId="0" borderId="0" xfId="0" applyProtection="1">
      <protection hidden="1"/>
    </xf>
    <xf numFmtId="9" fontId="0" fillId="0" borderId="0" xfId="0" applyNumberFormat="1" applyProtection="1">
      <protection hidden="1"/>
    </xf>
    <xf numFmtId="44" fontId="0" fillId="0" borderId="0" xfId="1" applyFont="1" applyProtection="1">
      <protection hidden="1"/>
    </xf>
    <xf numFmtId="3" fontId="1" fillId="8" borderId="0" xfId="9" applyNumberFormat="1" applyProtection="1">
      <protection hidden="1"/>
    </xf>
    <xf numFmtId="3" fontId="1" fillId="12" borderId="0" xfId="13" applyNumberFormat="1" applyProtection="1">
      <protection hidden="1"/>
    </xf>
    <xf numFmtId="3" fontId="0" fillId="12" borderId="0" xfId="13" applyNumberFormat="1" applyFont="1" applyProtection="1">
      <protection hidden="1"/>
    </xf>
    <xf numFmtId="0" fontId="1" fillId="12" borderId="0" xfId="13" applyProtection="1">
      <protection hidden="1"/>
    </xf>
    <xf numFmtId="167" fontId="0" fillId="0" borderId="0" xfId="0" applyNumberFormat="1" applyProtection="1">
      <protection hidden="1"/>
    </xf>
    <xf numFmtId="44" fontId="0" fillId="0" borderId="0" xfId="0" applyNumberFormat="1" applyProtection="1">
      <protection hidden="1"/>
    </xf>
    <xf numFmtId="0" fontId="0" fillId="0" borderId="0" xfId="0" applyNumberFormat="1" applyProtection="1">
      <protection hidden="1"/>
    </xf>
    <xf numFmtId="10" fontId="0" fillId="0" borderId="0" xfId="0" applyNumberFormat="1" applyAlignment="1" applyProtection="1">
      <alignment horizontal="center"/>
      <protection hidden="1"/>
    </xf>
    <xf numFmtId="170" fontId="0" fillId="0" borderId="0" xfId="0" applyNumberFormat="1" applyProtection="1">
      <protection hidden="1"/>
    </xf>
    <xf numFmtId="170" fontId="0" fillId="0" borderId="0" xfId="1" applyNumberFormat="1" applyFont="1" applyProtection="1">
      <protection hidden="1"/>
    </xf>
    <xf numFmtId="0" fontId="1" fillId="0" borderId="0" xfId="14" applyProtection="1">
      <protection hidden="1"/>
    </xf>
    <xf numFmtId="164" fontId="1" fillId="0" borderId="0" xfId="14" applyNumberFormat="1" applyProtection="1">
      <protection hidden="1"/>
    </xf>
    <xf numFmtId="165" fontId="0" fillId="0" borderId="0" xfId="15" applyNumberFormat="1" applyFont="1" applyProtection="1">
      <protection hidden="1"/>
    </xf>
    <xf numFmtId="165" fontId="1" fillId="0" borderId="0" xfId="14" applyNumberFormat="1" applyProtection="1">
      <protection hidden="1"/>
    </xf>
    <xf numFmtId="10" fontId="0" fillId="0" borderId="0" xfId="16" applyNumberFormat="1" applyFont="1" applyProtection="1">
      <protection hidden="1"/>
    </xf>
    <xf numFmtId="14" fontId="1" fillId="0" borderId="0" xfId="14" applyNumberFormat="1" applyProtection="1">
      <protection hidden="1"/>
    </xf>
    <xf numFmtId="0" fontId="1" fillId="0" borderId="0" xfId="14" applyNumberFormat="1" applyProtection="1">
      <protection hidden="1"/>
    </xf>
    <xf numFmtId="0" fontId="1" fillId="14" borderId="4" xfId="14" applyFill="1" applyBorder="1" applyProtection="1">
      <protection hidden="1"/>
    </xf>
    <xf numFmtId="0" fontId="1" fillId="14" borderId="5" xfId="14" applyFill="1" applyBorder="1" applyProtection="1">
      <protection hidden="1"/>
    </xf>
    <xf numFmtId="0" fontId="1" fillId="14" borderId="5" xfId="14" applyFont="1" applyFill="1" applyBorder="1" applyProtection="1">
      <protection hidden="1"/>
    </xf>
    <xf numFmtId="0" fontId="1" fillId="14" borderId="6" xfId="14" applyFill="1" applyBorder="1" applyProtection="1">
      <protection hidden="1"/>
    </xf>
    <xf numFmtId="165" fontId="0" fillId="15" borderId="7" xfId="15" applyNumberFormat="1" applyFont="1" applyFill="1" applyBorder="1" applyProtection="1">
      <protection hidden="1"/>
    </xf>
    <xf numFmtId="165" fontId="0" fillId="15" borderId="8" xfId="15" applyNumberFormat="1" applyFont="1" applyFill="1" applyBorder="1" applyProtection="1">
      <protection hidden="1"/>
    </xf>
    <xf numFmtId="165" fontId="0" fillId="15" borderId="9" xfId="15" applyNumberFormat="1" applyFont="1" applyFill="1" applyBorder="1" applyProtection="1">
      <protection hidden="1"/>
    </xf>
    <xf numFmtId="165" fontId="0" fillId="15" borderId="10" xfId="15" applyNumberFormat="1" applyFont="1" applyFill="1" applyBorder="1" applyProtection="1">
      <protection hidden="1"/>
    </xf>
    <xf numFmtId="165" fontId="0" fillId="15" borderId="11" xfId="15" applyNumberFormat="1" applyFont="1" applyFill="1" applyBorder="1" applyProtection="1">
      <protection hidden="1"/>
    </xf>
    <xf numFmtId="0" fontId="1" fillId="0" borderId="0" xfId="14" applyFont="1" applyProtection="1">
      <protection hidden="1"/>
    </xf>
    <xf numFmtId="165" fontId="0" fillId="15" borderId="12" xfId="15" applyNumberFormat="1" applyFont="1" applyFill="1" applyBorder="1" applyProtection="1">
      <protection hidden="1"/>
    </xf>
    <xf numFmtId="0" fontId="0" fillId="0" borderId="0" xfId="0" applyAlignment="1">
      <alignment horizontal="left" vertical="top" wrapText="1"/>
    </xf>
    <xf numFmtId="0" fontId="0" fillId="0" borderId="0" xfId="0" applyAlignment="1">
      <alignment wrapText="1"/>
    </xf>
    <xf numFmtId="0" fontId="18" fillId="4" borderId="0" xfId="5" applyFont="1"/>
    <xf numFmtId="0" fontId="0" fillId="0" borderId="0" xfId="0" applyAlignment="1">
      <alignment horizontal="left" wrapText="1"/>
    </xf>
    <xf numFmtId="0" fontId="0" fillId="0" borderId="0" xfId="0" applyAlignment="1">
      <alignment horizontal="left" vertical="center" wrapText="1"/>
    </xf>
    <xf numFmtId="0" fontId="1" fillId="11" borderId="16" xfId="12" applyBorder="1" applyAlignment="1">
      <alignment horizontal="center" vertical="center"/>
    </xf>
    <xf numFmtId="10" fontId="5" fillId="0" borderId="19" xfId="2" applyNumberFormat="1" applyFont="1" applyBorder="1" applyAlignment="1" applyProtection="1">
      <alignment horizontal="center" vertical="center"/>
      <protection locked="0"/>
    </xf>
    <xf numFmtId="10" fontId="5" fillId="0" borderId="20" xfId="2" applyNumberFormat="1" applyFont="1" applyBorder="1" applyAlignment="1" applyProtection="1">
      <alignment horizontal="center" vertical="center"/>
      <protection locked="0"/>
    </xf>
    <xf numFmtId="10" fontId="5" fillId="0" borderId="23" xfId="2" applyNumberFormat="1" applyFont="1" applyBorder="1" applyAlignment="1" applyProtection="1">
      <alignment horizontal="center" vertical="center"/>
      <protection locked="0"/>
    </xf>
    <xf numFmtId="10" fontId="5" fillId="0" borderId="33" xfId="2" applyNumberFormat="1" applyFont="1" applyBorder="1" applyAlignment="1" applyProtection="1">
      <alignment horizontal="center" vertical="center"/>
      <protection locked="0"/>
    </xf>
    <xf numFmtId="0" fontId="17" fillId="9" borderId="0" xfId="10" applyFont="1" applyAlignment="1">
      <alignment horizontal="left" vertical="center"/>
    </xf>
    <xf numFmtId="0" fontId="8" fillId="4" borderId="2" xfId="5" applyFont="1" applyBorder="1" applyAlignment="1">
      <alignment horizontal="center"/>
    </xf>
    <xf numFmtId="0" fontId="9" fillId="11" borderId="14" xfId="12" applyFont="1" applyBorder="1" applyAlignment="1">
      <alignment horizontal="center" vertical="center" wrapText="1"/>
    </xf>
    <xf numFmtId="0" fontId="9" fillId="11" borderId="16" xfId="12" applyFont="1" applyBorder="1" applyAlignment="1">
      <alignment horizontal="center" vertical="center" wrapText="1"/>
    </xf>
    <xf numFmtId="0" fontId="10" fillId="9" borderId="1" xfId="10" applyFont="1" applyBorder="1" applyAlignment="1">
      <alignment horizontal="center"/>
    </xf>
    <xf numFmtId="0" fontId="10" fillId="9" borderId="3" xfId="10" applyFont="1" applyBorder="1" applyAlignment="1">
      <alignment horizontal="center"/>
    </xf>
    <xf numFmtId="0" fontId="3" fillId="7" borderId="1" xfId="8" applyBorder="1" applyAlignment="1">
      <alignment horizontal="center"/>
    </xf>
    <xf numFmtId="0" fontId="3" fillId="7" borderId="3" xfId="8" applyBorder="1" applyAlignment="1">
      <alignment horizontal="center"/>
    </xf>
    <xf numFmtId="0" fontId="12" fillId="2" borderId="27" xfId="3" applyFont="1" applyBorder="1" applyAlignment="1">
      <alignment horizontal="center"/>
    </xf>
    <xf numFmtId="0" fontId="12" fillId="2" borderId="28" xfId="3" applyFont="1" applyBorder="1" applyAlignment="1">
      <alignment horizontal="center"/>
    </xf>
    <xf numFmtId="0" fontId="6" fillId="9" borderId="4" xfId="10" applyFont="1" applyBorder="1" applyAlignment="1">
      <alignment horizontal="center" vertical="center"/>
    </xf>
    <xf numFmtId="0" fontId="6" fillId="9" borderId="6" xfId="10" applyFont="1" applyBorder="1" applyAlignment="1">
      <alignment horizontal="center" vertical="center"/>
    </xf>
    <xf numFmtId="0" fontId="6" fillId="9" borderId="21" xfId="10" applyFont="1" applyBorder="1" applyAlignment="1">
      <alignment horizontal="center" vertical="center"/>
    </xf>
    <xf numFmtId="0" fontId="1" fillId="11" borderId="14" xfId="12" applyBorder="1" applyAlignment="1">
      <alignment horizontal="center" vertical="center" wrapText="1"/>
    </xf>
    <xf numFmtId="0" fontId="1" fillId="11" borderId="16" xfId="12" applyBorder="1" applyAlignment="1">
      <alignment horizontal="center" vertical="center" wrapText="1"/>
    </xf>
    <xf numFmtId="0" fontId="1" fillId="12" borderId="0" xfId="13" applyAlignment="1" applyProtection="1">
      <alignment horizontal="center"/>
      <protection hidden="1"/>
    </xf>
    <xf numFmtId="0" fontId="1" fillId="8" borderId="0" xfId="9" applyAlignment="1" applyProtection="1">
      <alignment horizontal="center"/>
      <protection hidden="1"/>
    </xf>
    <xf numFmtId="0" fontId="0" fillId="0" borderId="0" xfId="0" applyAlignment="1" applyProtection="1">
      <alignment horizontal="center"/>
      <protection hidden="1"/>
    </xf>
    <xf numFmtId="0" fontId="1" fillId="0" borderId="0" xfId="14" applyAlignment="1" applyProtection="1">
      <alignment horizontal="center"/>
      <protection hidden="1"/>
    </xf>
    <xf numFmtId="0" fontId="1" fillId="13" borderId="1" xfId="14" applyFont="1" applyFill="1" applyBorder="1" applyAlignment="1" applyProtection="1">
      <alignment horizontal="center"/>
      <protection hidden="1"/>
    </xf>
    <xf numFmtId="0" fontId="1" fillId="13" borderId="2" xfId="14" applyFont="1" applyFill="1" applyBorder="1" applyAlignment="1" applyProtection="1">
      <alignment horizontal="center"/>
      <protection hidden="1"/>
    </xf>
    <xf numFmtId="0" fontId="1" fillId="13" borderId="3" xfId="14" applyFont="1" applyFill="1" applyBorder="1" applyAlignment="1" applyProtection="1">
      <alignment horizontal="center"/>
      <protection hidden="1"/>
    </xf>
  </cellXfs>
  <cellStyles count="17">
    <cellStyle name="20% - Accent2" xfId="4" builtinId="34"/>
    <cellStyle name="20% - Accent3" xfId="6" builtinId="38"/>
    <cellStyle name="20% - Accent4" xfId="9" builtinId="42"/>
    <cellStyle name="20% - Accent5" xfId="11" builtinId="46"/>
    <cellStyle name="20% - Accent6" xfId="13" builtinId="50"/>
    <cellStyle name="40% - Accent3" xfId="7" builtinId="39"/>
    <cellStyle name="40% - Accent5" xfId="12" builtinId="47"/>
    <cellStyle name="Accent2" xfId="3" builtinId="33"/>
    <cellStyle name="Accent3" xfId="5" builtinId="37"/>
    <cellStyle name="Accent4" xfId="8" builtinId="41"/>
    <cellStyle name="Accent5" xfId="10" builtinId="45"/>
    <cellStyle name="Currency" xfId="1" builtinId="4"/>
    <cellStyle name="Currency 2" xfId="15"/>
    <cellStyle name="Normal" xfId="0" builtinId="0"/>
    <cellStyle name="Normal 2" xfId="14"/>
    <cellStyle name="Percent" xfId="2" builtinId="5"/>
    <cellStyle name="Percent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4019550</xdr:colOff>
      <xdr:row>0</xdr:row>
      <xdr:rowOff>19050</xdr:rowOff>
    </xdr:from>
    <xdr:to>
      <xdr:col>1</xdr:col>
      <xdr:colOff>603</xdr:colOff>
      <xdr:row>1</xdr:row>
      <xdr:rowOff>129540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9550" y="19050"/>
          <a:ext cx="1838928" cy="4057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tabSelected="1" workbookViewId="0">
      <selection activeCell="A9" sqref="A9"/>
    </sheetView>
  </sheetViews>
  <sheetFormatPr defaultRowHeight="15" x14ac:dyDescent="0.25"/>
  <cols>
    <col min="1" max="1" width="87.85546875" customWidth="1"/>
  </cols>
  <sheetData>
    <row r="1" spans="1:1" ht="23.25" customHeight="1" x14ac:dyDescent="0.25">
      <c r="A1" s="147" t="s">
        <v>91</v>
      </c>
    </row>
    <row r="2" spans="1:1" ht="12" customHeight="1" x14ac:dyDescent="0.25">
      <c r="A2" s="147"/>
    </row>
    <row r="3" spans="1:1" ht="15.75" x14ac:dyDescent="0.25">
      <c r="A3" s="139" t="s">
        <v>92</v>
      </c>
    </row>
    <row r="4" spans="1:1" ht="75" x14ac:dyDescent="0.25">
      <c r="A4" s="137" t="s">
        <v>113</v>
      </c>
    </row>
    <row r="5" spans="1:1" x14ac:dyDescent="0.25">
      <c r="A5" s="140"/>
    </row>
    <row r="6" spans="1:1" ht="15.75" x14ac:dyDescent="0.25">
      <c r="A6" s="139" t="s">
        <v>93</v>
      </c>
    </row>
    <row r="7" spans="1:1" x14ac:dyDescent="0.25">
      <c r="A7" s="141" t="s">
        <v>107</v>
      </c>
    </row>
    <row r="8" spans="1:1" ht="30" x14ac:dyDescent="0.25">
      <c r="A8" s="141" t="s">
        <v>106</v>
      </c>
    </row>
    <row r="9" spans="1:1" x14ac:dyDescent="0.25">
      <c r="A9" s="141" t="s">
        <v>105</v>
      </c>
    </row>
    <row r="10" spans="1:1" x14ac:dyDescent="0.25">
      <c r="A10" s="141" t="s">
        <v>104</v>
      </c>
    </row>
    <row r="11" spans="1:1" ht="30" x14ac:dyDescent="0.25">
      <c r="A11" s="141" t="s">
        <v>103</v>
      </c>
    </row>
    <row r="12" spans="1:1" ht="30" x14ac:dyDescent="0.25">
      <c r="A12" s="141" t="s">
        <v>114</v>
      </c>
    </row>
    <row r="13" spans="1:1" ht="30" x14ac:dyDescent="0.25">
      <c r="A13" s="141" t="s">
        <v>102</v>
      </c>
    </row>
    <row r="14" spans="1:1" ht="30" x14ac:dyDescent="0.25">
      <c r="A14" s="141" t="s">
        <v>101</v>
      </c>
    </row>
    <row r="15" spans="1:1" ht="30" x14ac:dyDescent="0.25">
      <c r="A15" s="141" t="s">
        <v>100</v>
      </c>
    </row>
    <row r="16" spans="1:1" ht="30" x14ac:dyDescent="0.25">
      <c r="A16" s="141" t="s">
        <v>115</v>
      </c>
    </row>
    <row r="17" spans="1:1" ht="30" x14ac:dyDescent="0.25">
      <c r="A17" s="141" t="s">
        <v>116</v>
      </c>
    </row>
    <row r="18" spans="1:1" x14ac:dyDescent="0.25">
      <c r="A18" s="141" t="s">
        <v>99</v>
      </c>
    </row>
    <row r="19" spans="1:1" x14ac:dyDescent="0.25">
      <c r="A19" s="141" t="s">
        <v>98</v>
      </c>
    </row>
    <row r="20" spans="1:1" ht="30" x14ac:dyDescent="0.25">
      <c r="A20" s="141" t="s">
        <v>95</v>
      </c>
    </row>
    <row r="21" spans="1:1" ht="30" x14ac:dyDescent="0.25">
      <c r="A21" s="141" t="s">
        <v>96</v>
      </c>
    </row>
    <row r="22" spans="1:1" ht="30" x14ac:dyDescent="0.25">
      <c r="A22" s="141" t="s">
        <v>97</v>
      </c>
    </row>
    <row r="23" spans="1:1" x14ac:dyDescent="0.25">
      <c r="A23" s="141" t="s">
        <v>112</v>
      </c>
    </row>
    <row r="25" spans="1:1" ht="15.75" x14ac:dyDescent="0.25">
      <c r="A25" s="139" t="s">
        <v>94</v>
      </c>
    </row>
    <row r="26" spans="1:1" x14ac:dyDescent="0.25">
      <c r="A26" s="141" t="s">
        <v>89</v>
      </c>
    </row>
    <row r="27" spans="1:1" ht="60" x14ac:dyDescent="0.25">
      <c r="A27" s="141" t="s">
        <v>117</v>
      </c>
    </row>
    <row r="28" spans="1:1" ht="75" x14ac:dyDescent="0.25">
      <c r="A28" s="141" t="s">
        <v>90</v>
      </c>
    </row>
    <row r="29" spans="1:1" x14ac:dyDescent="0.25">
      <c r="A29" s="138"/>
    </row>
  </sheetData>
  <sheetProtection algorithmName="SHA-512" hashValue="FYDYGiTS6io0qTCUxPPhosMVBQpmBvelLjoUkF29I4yIaI8OSQaDpCiakD2YFzaiy9FVr0Ai7U6c24Mih0qrAA==" saltValue="aHyUVwLmV84ZQP7+WOhQKQ==" spinCount="100000" sheet="1" objects="1" scenarios="1"/>
  <mergeCells count="1">
    <mergeCell ref="A1:A2"/>
  </mergeCells>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B1:M28"/>
  <sheetViews>
    <sheetView zoomScale="90" zoomScaleNormal="90" zoomScalePageLayoutView="90" workbookViewId="0">
      <selection activeCell="C16" sqref="C16"/>
    </sheetView>
  </sheetViews>
  <sheetFormatPr defaultColWidth="8.85546875" defaultRowHeight="15" x14ac:dyDescent="0.25"/>
  <cols>
    <col min="1" max="1" width="0.85546875" style="45" customWidth="1"/>
    <col min="2" max="2" width="5.7109375" style="45" bestFit="1" customWidth="1"/>
    <col min="3" max="3" width="52.85546875" style="45" bestFit="1" customWidth="1"/>
    <col min="4" max="4" width="14.42578125" style="45" bestFit="1" customWidth="1"/>
    <col min="5" max="5" width="12" style="45" bestFit="1" customWidth="1"/>
    <col min="6" max="6" width="15.42578125" style="45" bestFit="1" customWidth="1"/>
    <col min="7" max="7" width="11.85546875" style="45" bestFit="1" customWidth="1"/>
    <col min="8" max="8" width="1.28515625" style="45" customWidth="1"/>
    <col min="9" max="9" width="46.42578125" style="45" bestFit="1" customWidth="1"/>
    <col min="10" max="10" width="15.7109375" style="45" bestFit="1" customWidth="1"/>
    <col min="11" max="11" width="13" style="45" bestFit="1" customWidth="1"/>
    <col min="12" max="12" width="2.28515625" style="45" bestFit="1" customWidth="1"/>
    <col min="13" max="13" width="115.7109375" style="45" customWidth="1"/>
    <col min="14" max="16384" width="8.85546875" style="45"/>
  </cols>
  <sheetData>
    <row r="1" spans="2:13" ht="3" customHeight="1" thickBot="1" x14ac:dyDescent="0.3"/>
    <row r="2" spans="2:13" ht="15.75" thickBot="1" x14ac:dyDescent="0.3">
      <c r="B2" s="148" t="s">
        <v>69</v>
      </c>
      <c r="C2" s="148"/>
      <c r="D2" s="148"/>
      <c r="E2" s="148"/>
      <c r="F2" s="148"/>
      <c r="G2" s="149" t="s">
        <v>30</v>
      </c>
      <c r="I2" s="151" t="s">
        <v>31</v>
      </c>
      <c r="J2" s="152"/>
      <c r="L2" s="153" t="s">
        <v>32</v>
      </c>
      <c r="M2" s="154"/>
    </row>
    <row r="3" spans="2:13" ht="45.75" thickBot="1" x14ac:dyDescent="0.3">
      <c r="B3" s="47" t="s">
        <v>26</v>
      </c>
      <c r="C3" s="48" t="s">
        <v>33</v>
      </c>
      <c r="D3" s="46" t="s">
        <v>22</v>
      </c>
      <c r="E3" s="48" t="s">
        <v>34</v>
      </c>
      <c r="F3" s="46" t="s">
        <v>35</v>
      </c>
      <c r="G3" s="150"/>
      <c r="H3" s="49"/>
      <c r="I3" s="50" t="s">
        <v>36</v>
      </c>
      <c r="J3" s="51" t="s">
        <v>37</v>
      </c>
      <c r="L3" s="52">
        <v>1</v>
      </c>
      <c r="M3" s="53" t="s">
        <v>120</v>
      </c>
    </row>
    <row r="4" spans="2:13" ht="15" customHeight="1" x14ac:dyDescent="0.25">
      <c r="B4" s="83">
        <f>'ECM Input'!B8</f>
        <v>1</v>
      </c>
      <c r="C4" s="84" t="str">
        <f>'ECM Input'!C8</f>
        <v>Central Steam Plant Upgrades</v>
      </c>
      <c r="D4" s="85">
        <f>Calculations!R3</f>
        <v>7865000</v>
      </c>
      <c r="E4" s="86">
        <f>Calculations!U3</f>
        <v>315456.4411764706</v>
      </c>
      <c r="F4" s="87">
        <f>Calculations!AA3</f>
        <v>10.348684210526315</v>
      </c>
      <c r="G4" s="81" t="s">
        <v>38</v>
      </c>
      <c r="I4" s="54" t="s">
        <v>39</v>
      </c>
      <c r="J4" s="55">
        <v>0</v>
      </c>
      <c r="L4" s="99">
        <v>2</v>
      </c>
      <c r="M4" s="100" t="s">
        <v>78</v>
      </c>
    </row>
    <row r="5" spans="2:13" ht="15" customHeight="1" x14ac:dyDescent="0.25">
      <c r="B5" s="92">
        <f>'ECM Input'!B9</f>
        <v>2</v>
      </c>
      <c r="C5" s="56" t="str">
        <f>'ECM Input'!C9</f>
        <v>Chiller Plant Upgrades</v>
      </c>
      <c r="D5" s="57">
        <f>Calculations!R4</f>
        <v>0</v>
      </c>
      <c r="E5" s="58">
        <f>Calculations!U4</f>
        <v>0</v>
      </c>
      <c r="F5" s="93" t="str">
        <f>Calculations!AA4</f>
        <v/>
      </c>
      <c r="G5" s="82" t="s">
        <v>40</v>
      </c>
      <c r="I5" s="59" t="s">
        <v>41</v>
      </c>
      <c r="J5" s="60">
        <v>0</v>
      </c>
      <c r="L5" s="61">
        <v>3</v>
      </c>
      <c r="M5" s="62" t="s">
        <v>108</v>
      </c>
    </row>
    <row r="6" spans="2:13" ht="15" customHeight="1" x14ac:dyDescent="0.25">
      <c r="B6" s="88">
        <f>'ECM Input'!B10</f>
        <v>3</v>
      </c>
      <c r="C6" s="63" t="str">
        <f>'ECM Input'!C10</f>
        <v>Steam Distribution Repair</v>
      </c>
      <c r="D6" s="64">
        <f>Calculations!R5</f>
        <v>1452000</v>
      </c>
      <c r="E6" s="65">
        <f>Calculations!U5</f>
        <v>75441.176470588223</v>
      </c>
      <c r="F6" s="89">
        <f>Calculations!AA5</f>
        <v>10.917293233082706</v>
      </c>
      <c r="G6" s="81" t="s">
        <v>38</v>
      </c>
      <c r="I6" s="97" t="s">
        <v>74</v>
      </c>
      <c r="J6" s="98">
        <v>0.04</v>
      </c>
      <c r="L6" s="99">
        <v>4</v>
      </c>
      <c r="M6" s="100" t="s">
        <v>109</v>
      </c>
    </row>
    <row r="7" spans="2:13" ht="15" customHeight="1" x14ac:dyDescent="0.25">
      <c r="B7" s="92">
        <f>'ECM Input'!B11</f>
        <v>4</v>
      </c>
      <c r="C7" s="56" t="str">
        <f>'ECM Input'!C11</f>
        <v>Fuel  Conversion</v>
      </c>
      <c r="D7" s="57">
        <f>Calculations!R6</f>
        <v>4235000</v>
      </c>
      <c r="E7" s="58">
        <f>Calculations!U6</f>
        <v>0</v>
      </c>
      <c r="F7" s="93">
        <f>Calculations!AA6</f>
        <v>29.719298245614034</v>
      </c>
      <c r="G7" s="82" t="s">
        <v>38</v>
      </c>
      <c r="I7" s="66" t="s">
        <v>42</v>
      </c>
      <c r="J7" s="77">
        <v>18</v>
      </c>
      <c r="L7" s="61">
        <v>5</v>
      </c>
      <c r="M7" s="62" t="s">
        <v>119</v>
      </c>
    </row>
    <row r="8" spans="2:13" ht="15" customHeight="1" x14ac:dyDescent="0.25">
      <c r="B8" s="88">
        <f>'ECM Input'!B12</f>
        <v>5</v>
      </c>
      <c r="C8" s="63" t="str">
        <f>'ECM Input'!C12</f>
        <v>Interior Lighting</v>
      </c>
      <c r="D8" s="64">
        <f>Calculations!R7</f>
        <v>0</v>
      </c>
      <c r="E8" s="65">
        <f>Calculations!U7</f>
        <v>0</v>
      </c>
      <c r="F8" s="89" t="str">
        <f>Calculations!AA7</f>
        <v/>
      </c>
      <c r="G8" s="81" t="s">
        <v>40</v>
      </c>
      <c r="I8" s="67" t="s">
        <v>43</v>
      </c>
      <c r="J8" s="68">
        <v>0</v>
      </c>
      <c r="L8" s="99">
        <v>6</v>
      </c>
      <c r="M8" s="100" t="s">
        <v>110</v>
      </c>
    </row>
    <row r="9" spans="2:13" ht="15" customHeight="1" x14ac:dyDescent="0.25">
      <c r="B9" s="92">
        <f>'ECM Input'!B13</f>
        <v>6</v>
      </c>
      <c r="C9" s="56" t="str">
        <f>'ECM Input'!C13</f>
        <v>Control System Upgrades</v>
      </c>
      <c r="D9" s="57">
        <f>Calculations!R8</f>
        <v>2541000</v>
      </c>
      <c r="E9" s="58">
        <f>Calculations!U8</f>
        <v>57355.716577540108</v>
      </c>
      <c r="F9" s="93">
        <f>Calculations!AA8</f>
        <v>17.831578947368421</v>
      </c>
      <c r="G9" s="82" t="s">
        <v>38</v>
      </c>
      <c r="I9" s="66" t="s">
        <v>118</v>
      </c>
      <c r="J9" s="94">
        <v>0.21</v>
      </c>
      <c r="L9" s="61"/>
      <c r="M9" s="62" t="s">
        <v>111</v>
      </c>
    </row>
    <row r="10" spans="2:13" ht="15" customHeight="1" x14ac:dyDescent="0.25">
      <c r="B10" s="88">
        <f>'ECM Input'!B14</f>
        <v>7</v>
      </c>
      <c r="C10" s="63" t="str">
        <f>'ECM Input'!C14</f>
        <v>Water Improvements</v>
      </c>
      <c r="D10" s="64">
        <f>Calculations!R9</f>
        <v>1815000</v>
      </c>
      <c r="E10" s="65">
        <f>Calculations!U9</f>
        <v>0</v>
      </c>
      <c r="F10" s="89">
        <f>Calculations!AA9</f>
        <v>5.458646616541353</v>
      </c>
      <c r="G10" s="81" t="s">
        <v>38</v>
      </c>
      <c r="I10" s="67" t="s">
        <v>73</v>
      </c>
      <c r="J10" s="68">
        <v>0.21</v>
      </c>
      <c r="L10" s="99"/>
      <c r="M10" s="100"/>
    </row>
    <row r="11" spans="2:13" ht="15" customHeight="1" x14ac:dyDescent="0.25">
      <c r="B11" s="92">
        <f>'ECM Input'!B15</f>
        <v>8</v>
      </c>
      <c r="C11" s="56" t="str">
        <f>'ECM Input'!C15</f>
        <v>HVAC Retrofits</v>
      </c>
      <c r="D11" s="57">
        <f>Calculations!R10</f>
        <v>2662000</v>
      </c>
      <c r="E11" s="58">
        <f>Calculations!U10</f>
        <v>498905.24625668448</v>
      </c>
      <c r="F11" s="93">
        <f>Calculations!AA10</f>
        <v>4.7493309545049067</v>
      </c>
      <c r="G11" s="82" t="s">
        <v>38</v>
      </c>
      <c r="I11" s="66" t="s">
        <v>77</v>
      </c>
      <c r="J11" s="94">
        <v>0</v>
      </c>
      <c r="L11" s="61"/>
      <c r="M11" s="62"/>
    </row>
    <row r="12" spans="2:13" ht="15" customHeight="1" x14ac:dyDescent="0.25">
      <c r="B12" s="88">
        <f>'ECM Input'!B16</f>
        <v>9</v>
      </c>
      <c r="C12" s="63" t="str">
        <f>'ECM Input'!C16</f>
        <v>Building Envelope Improvements</v>
      </c>
      <c r="D12" s="64">
        <f>Calculations!R11</f>
        <v>1815000</v>
      </c>
      <c r="E12" s="65">
        <f>Calculations!U11</f>
        <v>84560.211229946523</v>
      </c>
      <c r="F12" s="89">
        <f>Calculations!AA11</f>
        <v>19.10526315789474</v>
      </c>
      <c r="G12" s="81" t="s">
        <v>38</v>
      </c>
      <c r="I12" s="67" t="s">
        <v>72</v>
      </c>
      <c r="J12" s="68">
        <v>0.95</v>
      </c>
      <c r="L12" s="99"/>
      <c r="M12" s="100"/>
    </row>
    <row r="13" spans="2:13" ht="15" customHeight="1" x14ac:dyDescent="0.25">
      <c r="B13" s="92">
        <f>'ECM Input'!B17</f>
        <v>10</v>
      </c>
      <c r="C13" s="56" t="str">
        <f>'ECM Input'!C17</f>
        <v>PV System</v>
      </c>
      <c r="D13" s="57">
        <f>Calculations!R12</f>
        <v>10890000</v>
      </c>
      <c r="E13" s="58">
        <f>Calculations!U12</f>
        <v>11050.227272727274</v>
      </c>
      <c r="F13" s="93">
        <f>Calculations!AA12</f>
        <v>30.568421052631578</v>
      </c>
      <c r="G13" s="82" t="s">
        <v>38</v>
      </c>
      <c r="I13" s="66" t="s">
        <v>70</v>
      </c>
      <c r="J13" s="95">
        <v>1.4999999999999999E-2</v>
      </c>
      <c r="L13" s="61"/>
      <c r="M13" s="62"/>
    </row>
    <row r="14" spans="2:13" ht="15" customHeight="1" thickBot="1" x14ac:dyDescent="0.3">
      <c r="B14" s="88">
        <f>'ECM Input'!B18</f>
        <v>0</v>
      </c>
      <c r="C14" s="63">
        <f>'ECM Input'!C18</f>
        <v>0</v>
      </c>
      <c r="D14" s="64">
        <f>Calculations!R13</f>
        <v>0</v>
      </c>
      <c r="E14" s="65">
        <f>Calculations!U13</f>
        <v>0</v>
      </c>
      <c r="F14" s="89" t="str">
        <f>Calculations!AA13</f>
        <v/>
      </c>
      <c r="G14" s="81" t="s">
        <v>40</v>
      </c>
      <c r="I14" s="96" t="s">
        <v>71</v>
      </c>
      <c r="J14" s="101">
        <v>1.5E-3</v>
      </c>
      <c r="L14" s="99"/>
      <c r="M14" s="100"/>
    </row>
    <row r="15" spans="2:13" ht="15.75" thickBot="1" x14ac:dyDescent="0.3">
      <c r="B15" s="92">
        <f>'ECM Input'!B19</f>
        <v>0</v>
      </c>
      <c r="C15" s="56">
        <f>'ECM Input'!C19</f>
        <v>0</v>
      </c>
      <c r="D15" s="57">
        <f>Calculations!R14</f>
        <v>0</v>
      </c>
      <c r="E15" s="58">
        <f>Calculations!U14</f>
        <v>0</v>
      </c>
      <c r="F15" s="93" t="str">
        <f>Calculations!AA14</f>
        <v/>
      </c>
      <c r="G15" s="82" t="s">
        <v>40</v>
      </c>
      <c r="L15" s="69"/>
      <c r="M15" s="70"/>
    </row>
    <row r="16" spans="2:13" ht="15.75" x14ac:dyDescent="0.25">
      <c r="B16" s="88">
        <f>'ECM Input'!B20</f>
        <v>0</v>
      </c>
      <c r="C16" s="63">
        <f>'ECM Input'!C20</f>
        <v>0</v>
      </c>
      <c r="D16" s="64">
        <f>Calculations!R15</f>
        <v>0</v>
      </c>
      <c r="E16" s="65">
        <f>Calculations!U15</f>
        <v>0</v>
      </c>
      <c r="F16" s="89" t="str">
        <f>Calculations!AA15</f>
        <v/>
      </c>
      <c r="G16" s="81" t="s">
        <v>40</v>
      </c>
      <c r="I16" s="155" t="s">
        <v>45</v>
      </c>
      <c r="J16" s="156"/>
    </row>
    <row r="17" spans="2:10" ht="15.75" x14ac:dyDescent="0.25">
      <c r="B17" s="92">
        <f>'ECM Input'!B21</f>
        <v>0</v>
      </c>
      <c r="C17" s="56">
        <f>'ECM Input'!C21</f>
        <v>0</v>
      </c>
      <c r="D17" s="57">
        <f>Calculations!R16</f>
        <v>0</v>
      </c>
      <c r="E17" s="58">
        <f>Calculations!U16</f>
        <v>0</v>
      </c>
      <c r="F17" s="93" t="str">
        <f>Calculations!AA16</f>
        <v/>
      </c>
      <c r="G17" s="82" t="s">
        <v>40</v>
      </c>
      <c r="I17" s="71" t="s">
        <v>2</v>
      </c>
      <c r="J17" s="102">
        <f>'Payment Schedule'!D3</f>
        <v>67330545.813119844</v>
      </c>
    </row>
    <row r="18" spans="2:10" ht="15.75" x14ac:dyDescent="0.25">
      <c r="B18" s="88">
        <f>'ECM Input'!B22</f>
        <v>0</v>
      </c>
      <c r="C18" s="63">
        <f>'ECM Input'!C22</f>
        <v>0</v>
      </c>
      <c r="D18" s="64">
        <f>Calculations!R17</f>
        <v>0</v>
      </c>
      <c r="E18" s="65">
        <f>Calculations!U17</f>
        <v>0</v>
      </c>
      <c r="F18" s="89" t="str">
        <f>Calculations!AA17</f>
        <v/>
      </c>
      <c r="G18" s="81" t="s">
        <v>40</v>
      </c>
      <c r="I18" s="72" t="s">
        <v>4</v>
      </c>
      <c r="J18" s="103">
        <f>'Payment Schedule'!F3</f>
        <v>18632185.854663938</v>
      </c>
    </row>
    <row r="19" spans="2:10" ht="15.75" x14ac:dyDescent="0.25">
      <c r="B19" s="92">
        <f>'ECM Input'!B23</f>
        <v>0</v>
      </c>
      <c r="C19" s="56">
        <f>'ECM Input'!C23</f>
        <v>0</v>
      </c>
      <c r="D19" s="57">
        <f>Calculations!R18</f>
        <v>0</v>
      </c>
      <c r="E19" s="58">
        <f>Calculations!U18</f>
        <v>0</v>
      </c>
      <c r="F19" s="93" t="str">
        <f>Calculations!AA18</f>
        <v/>
      </c>
      <c r="G19" s="82" t="s">
        <v>40</v>
      </c>
      <c r="I19" s="71" t="s">
        <v>3</v>
      </c>
      <c r="J19" s="102">
        <f>'Payment Schedule'!E3</f>
        <v>15423359.958455905</v>
      </c>
    </row>
    <row r="20" spans="2:10" ht="15.75" x14ac:dyDescent="0.25">
      <c r="B20" s="88">
        <f>'ECM Input'!B24</f>
        <v>0</v>
      </c>
      <c r="C20" s="63">
        <f>'ECM Input'!C24</f>
        <v>0</v>
      </c>
      <c r="D20" s="64">
        <f>Calculations!R19</f>
        <v>0</v>
      </c>
      <c r="E20" s="65">
        <f>Calculations!U19</f>
        <v>0</v>
      </c>
      <c r="F20" s="89" t="str">
        <f>Calculations!AA19</f>
        <v/>
      </c>
      <c r="G20" s="81" t="s">
        <v>40</v>
      </c>
      <c r="I20" s="72" t="s">
        <v>76</v>
      </c>
      <c r="J20" s="104">
        <f>(J21+J17)/J12-(J21+J17)</f>
        <v>3543712.9375326335</v>
      </c>
    </row>
    <row r="21" spans="2:10" ht="15.75" x14ac:dyDescent="0.25">
      <c r="B21" s="92">
        <f>'ECM Input'!B25</f>
        <v>0</v>
      </c>
      <c r="C21" s="56">
        <f>'ECM Input'!C25</f>
        <v>0</v>
      </c>
      <c r="D21" s="57">
        <f>Calculations!R20</f>
        <v>0</v>
      </c>
      <c r="E21" s="58">
        <f>Calculations!U20</f>
        <v>0</v>
      </c>
      <c r="F21" s="93" t="str">
        <f>Calculations!AA20</f>
        <v/>
      </c>
      <c r="G21" s="82" t="s">
        <v>40</v>
      </c>
      <c r="I21" s="71" t="s">
        <v>75</v>
      </c>
      <c r="J21" s="102">
        <f>J17/(1-J11)-J17</f>
        <v>0</v>
      </c>
    </row>
    <row r="22" spans="2:10" ht="16.5" thickBot="1" x14ac:dyDescent="0.3">
      <c r="B22" s="88">
        <f>'ECM Input'!B26</f>
        <v>0</v>
      </c>
      <c r="C22" s="63">
        <f>'ECM Input'!C26</f>
        <v>0</v>
      </c>
      <c r="D22" s="64">
        <f>Calculations!R21</f>
        <v>0</v>
      </c>
      <c r="E22" s="65">
        <f>Calculations!U21</f>
        <v>0</v>
      </c>
      <c r="F22" s="89" t="str">
        <f>Calculations!AA21</f>
        <v/>
      </c>
      <c r="G22" s="81" t="s">
        <v>40</v>
      </c>
      <c r="I22" s="73" t="s">
        <v>47</v>
      </c>
      <c r="J22" s="105">
        <f>'Payment Schedule'!C3+Summary!J7/12</f>
        <v>21.5</v>
      </c>
    </row>
    <row r="23" spans="2:10" x14ac:dyDescent="0.25">
      <c r="B23" s="92">
        <f>'ECM Input'!B27</f>
        <v>0</v>
      </c>
      <c r="C23" s="56">
        <f>'ECM Input'!C27</f>
        <v>0</v>
      </c>
      <c r="D23" s="57">
        <f>Calculations!R22</f>
        <v>0</v>
      </c>
      <c r="E23" s="58">
        <f>Calculations!U22</f>
        <v>0</v>
      </c>
      <c r="F23" s="93" t="str">
        <f>Calculations!AA22</f>
        <v/>
      </c>
      <c r="G23" s="82" t="s">
        <v>40</v>
      </c>
    </row>
    <row r="24" spans="2:10" x14ac:dyDescent="0.25">
      <c r="B24" s="88">
        <f>'ECM Input'!B28</f>
        <v>0</v>
      </c>
      <c r="C24" s="63">
        <f>'ECM Input'!C28</f>
        <v>0</v>
      </c>
      <c r="D24" s="64">
        <f>Calculations!R23</f>
        <v>0</v>
      </c>
      <c r="E24" s="65">
        <f>Calculations!U23</f>
        <v>0</v>
      </c>
      <c r="F24" s="89" t="str">
        <f>Calculations!AA23</f>
        <v/>
      </c>
      <c r="G24" s="81" t="s">
        <v>40</v>
      </c>
    </row>
    <row r="25" spans="2:10" x14ac:dyDescent="0.25">
      <c r="B25" s="92">
        <f>'ECM Input'!B29</f>
        <v>0</v>
      </c>
      <c r="C25" s="56">
        <f>'ECM Input'!C29</f>
        <v>0</v>
      </c>
      <c r="D25" s="57">
        <f>Calculations!R24</f>
        <v>0</v>
      </c>
      <c r="E25" s="58">
        <f>Calculations!U24</f>
        <v>0</v>
      </c>
      <c r="F25" s="93" t="str">
        <f>Calculations!AA24</f>
        <v/>
      </c>
      <c r="G25" s="82" t="s">
        <v>40</v>
      </c>
    </row>
    <row r="26" spans="2:10" x14ac:dyDescent="0.25">
      <c r="B26" s="88">
        <f>'ECM Input'!B30</f>
        <v>0</v>
      </c>
      <c r="C26" s="63">
        <f>'ECM Input'!C30</f>
        <v>0</v>
      </c>
      <c r="D26" s="64">
        <f>Calculations!R25</f>
        <v>0</v>
      </c>
      <c r="E26" s="65">
        <f>Calculations!U25</f>
        <v>0</v>
      </c>
      <c r="F26" s="89" t="str">
        <f>Calculations!AA25</f>
        <v/>
      </c>
      <c r="G26" s="81" t="s">
        <v>40</v>
      </c>
    </row>
    <row r="27" spans="2:10" x14ac:dyDescent="0.25">
      <c r="B27" s="92">
        <f>'ECM Input'!B31</f>
        <v>0</v>
      </c>
      <c r="C27" s="56">
        <f>'ECM Input'!C31</f>
        <v>0</v>
      </c>
      <c r="D27" s="57">
        <f>Calculations!R26</f>
        <v>0</v>
      </c>
      <c r="E27" s="58">
        <f>Calculations!U26</f>
        <v>0</v>
      </c>
      <c r="F27" s="93" t="str">
        <f>Calculations!AA26</f>
        <v/>
      </c>
      <c r="G27" s="82" t="s">
        <v>40</v>
      </c>
    </row>
    <row r="28" spans="2:10" ht="15.75" thickBot="1" x14ac:dyDescent="0.3">
      <c r="B28" s="90">
        <f>'ECM Input'!B32</f>
        <v>0</v>
      </c>
      <c r="C28" s="74">
        <f>'ECM Input'!C32</f>
        <v>0</v>
      </c>
      <c r="D28" s="75">
        <f>Calculations!R27</f>
        <v>0</v>
      </c>
      <c r="E28" s="76">
        <f>Calculations!U27</f>
        <v>0</v>
      </c>
      <c r="F28" s="91" t="str">
        <f>Calculations!AA27</f>
        <v/>
      </c>
      <c r="G28" s="81" t="s">
        <v>40</v>
      </c>
    </row>
  </sheetData>
  <sheetProtection algorithmName="SHA-512" hashValue="K7dF1Q3QDt5n2vk2aevZjOH+4w/gnwB6msP6zixcBe+p2HGrCAVLssoz0N37eWb1OTpD6iQLEVro8puJ/z9F9Q==" saltValue="PDjhlpD7bPypjeDpnzAzGw==" spinCount="100000" sheet="1" objects="1" scenarios="1"/>
  <mergeCells count="5">
    <mergeCell ref="B2:F2"/>
    <mergeCell ref="G2:G3"/>
    <mergeCell ref="I2:J2"/>
    <mergeCell ref="L2:M2"/>
    <mergeCell ref="I16:J16"/>
  </mergeCells>
  <pageMargins left="0.7" right="0.7" top="0.75" bottom="0.75" header="0.3" footer="0.3"/>
  <pageSetup orientation="portrait" horizontalDpi="4294967293" vertic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32"/>
  <sheetViews>
    <sheetView zoomScale="69" zoomScaleNormal="69" zoomScalePageLayoutView="69" workbookViewId="0">
      <selection activeCell="C18" sqref="C18"/>
    </sheetView>
  </sheetViews>
  <sheetFormatPr defaultColWidth="8.85546875" defaultRowHeight="15" x14ac:dyDescent="0.25"/>
  <cols>
    <col min="1" max="1" width="1.140625" style="1" customWidth="1"/>
    <col min="2" max="2" width="10.42578125" style="1" bestFit="1" customWidth="1"/>
    <col min="3" max="3" width="58.7109375" style="1" bestFit="1" customWidth="1"/>
    <col min="4" max="4" width="19.42578125" style="1" customWidth="1"/>
    <col min="5" max="5" width="28.42578125" style="1" bestFit="1" customWidth="1"/>
    <col min="6" max="6" width="26.28515625" style="1" bestFit="1" customWidth="1"/>
    <col min="7" max="7" width="16.140625" style="1" bestFit="1" customWidth="1"/>
    <col min="8" max="8" width="18.42578125" style="1" bestFit="1" customWidth="1"/>
    <col min="9" max="9" width="18.85546875" style="1" bestFit="1" customWidth="1"/>
    <col min="10" max="10" width="22.28515625" style="1" bestFit="1" customWidth="1"/>
    <col min="11" max="11" width="37.42578125" style="1" bestFit="1" customWidth="1"/>
    <col min="12" max="12" width="37.42578125" style="1" customWidth="1"/>
    <col min="13" max="13" width="20.42578125" style="1" bestFit="1" customWidth="1"/>
    <col min="14" max="14" width="26.85546875" style="1" bestFit="1" customWidth="1"/>
    <col min="15" max="15" width="17.28515625" style="1" bestFit="1" customWidth="1"/>
    <col min="16" max="16" width="23" style="1" bestFit="1" customWidth="1"/>
    <col min="17" max="17" width="28.7109375" style="1" bestFit="1" customWidth="1"/>
    <col min="18" max="18" width="33" style="1" bestFit="1" customWidth="1"/>
    <col min="19" max="21" width="26.28515625" style="1" customWidth="1"/>
    <col min="22" max="22" width="41.28515625" style="1" customWidth="1"/>
    <col min="23" max="16384" width="8.85546875" style="1"/>
  </cols>
  <sheetData>
    <row r="1" spans="1:11" ht="6" customHeight="1" thickBot="1" x14ac:dyDescent="0.3"/>
    <row r="2" spans="1:11" ht="15.75" thickBot="1" x14ac:dyDescent="0.3">
      <c r="C2" s="2" t="s">
        <v>14</v>
      </c>
      <c r="D2" s="3" t="s">
        <v>15</v>
      </c>
      <c r="E2" s="4" t="s">
        <v>16</v>
      </c>
      <c r="F2" s="4" t="s">
        <v>17</v>
      </c>
      <c r="G2" s="4" t="s">
        <v>18</v>
      </c>
      <c r="H2" s="160" t="s">
        <v>1</v>
      </c>
    </row>
    <row r="3" spans="1:11" ht="15.75" customHeight="1" thickBot="1" x14ac:dyDescent="0.3">
      <c r="C3" s="5" t="s">
        <v>19</v>
      </c>
      <c r="D3" s="6">
        <v>0.11</v>
      </c>
      <c r="E3" s="7">
        <v>0.85</v>
      </c>
      <c r="F3" s="8">
        <v>1</v>
      </c>
      <c r="G3" s="8">
        <v>7.11</v>
      </c>
      <c r="H3" s="161"/>
    </row>
    <row r="4" spans="1:11" ht="15.75" customHeight="1" thickBot="1" x14ac:dyDescent="0.3">
      <c r="C4" s="142" t="s">
        <v>20</v>
      </c>
      <c r="D4" s="143">
        <v>0.03</v>
      </c>
      <c r="E4" s="144">
        <v>0.03</v>
      </c>
      <c r="F4" s="145">
        <v>0.03</v>
      </c>
      <c r="G4" s="145">
        <v>0.03</v>
      </c>
      <c r="H4" s="146">
        <v>0.03</v>
      </c>
    </row>
    <row r="5" spans="1:11" ht="15.75" thickBot="1" x14ac:dyDescent="0.3"/>
    <row r="6" spans="1:11" s="9" customFormat="1" ht="21" x14ac:dyDescent="0.25">
      <c r="B6" s="78" t="s">
        <v>21</v>
      </c>
      <c r="C6" s="79"/>
      <c r="D6" s="158" t="s">
        <v>22</v>
      </c>
      <c r="E6" s="78" t="s">
        <v>23</v>
      </c>
      <c r="F6" s="79"/>
      <c r="G6" s="79"/>
      <c r="H6" s="80"/>
      <c r="I6" s="157" t="s">
        <v>24</v>
      </c>
      <c r="J6" s="158"/>
      <c r="K6" s="158" t="s">
        <v>25</v>
      </c>
    </row>
    <row r="7" spans="1:11" s="9" customFormat="1" ht="30.75" thickBot="1" x14ac:dyDescent="0.3">
      <c r="A7" s="10"/>
      <c r="B7" s="11" t="s">
        <v>26</v>
      </c>
      <c r="C7" s="12" t="s">
        <v>27</v>
      </c>
      <c r="D7" s="159"/>
      <c r="E7" s="11" t="s">
        <v>15</v>
      </c>
      <c r="F7" s="14" t="s">
        <v>16</v>
      </c>
      <c r="G7" s="14" t="s">
        <v>17</v>
      </c>
      <c r="H7" s="13" t="s">
        <v>18</v>
      </c>
      <c r="I7" s="11" t="s">
        <v>28</v>
      </c>
      <c r="J7" s="13" t="s">
        <v>29</v>
      </c>
      <c r="K7" s="159"/>
    </row>
    <row r="8" spans="1:11" x14ac:dyDescent="0.25">
      <c r="B8" s="15">
        <v>1</v>
      </c>
      <c r="C8" s="16" t="s">
        <v>79</v>
      </c>
      <c r="D8" s="17">
        <v>6500000</v>
      </c>
      <c r="E8" s="18">
        <v>2500000</v>
      </c>
      <c r="F8" s="18">
        <v>323529.4117647059</v>
      </c>
      <c r="G8" s="19">
        <v>0</v>
      </c>
      <c r="H8" s="18">
        <v>0</v>
      </c>
      <c r="I8" s="20">
        <v>250000</v>
      </c>
      <c r="J8" s="21">
        <v>0</v>
      </c>
      <c r="K8" s="22"/>
    </row>
    <row r="9" spans="1:11" x14ac:dyDescent="0.25">
      <c r="B9" s="23">
        <v>2</v>
      </c>
      <c r="C9" s="24" t="s">
        <v>80</v>
      </c>
      <c r="D9" s="25">
        <v>5800000</v>
      </c>
      <c r="E9" s="26">
        <v>3636363.6363636362</v>
      </c>
      <c r="F9" s="26">
        <v>0</v>
      </c>
      <c r="G9" s="26">
        <v>0</v>
      </c>
      <c r="H9" s="26">
        <v>0</v>
      </c>
      <c r="I9" s="27">
        <v>100000</v>
      </c>
      <c r="J9" s="28">
        <v>0</v>
      </c>
      <c r="K9" s="29"/>
    </row>
    <row r="10" spans="1:11" x14ac:dyDescent="0.25">
      <c r="B10" s="30">
        <v>3</v>
      </c>
      <c r="C10" s="31" t="s">
        <v>81</v>
      </c>
      <c r="D10" s="17">
        <v>1200000</v>
      </c>
      <c r="E10" s="19">
        <v>0</v>
      </c>
      <c r="F10" s="19">
        <v>79411.76470588235</v>
      </c>
      <c r="G10" s="19">
        <v>0</v>
      </c>
      <c r="H10" s="19">
        <v>3164.5569620253164</v>
      </c>
      <c r="I10" s="20">
        <v>50000</v>
      </c>
      <c r="J10" s="21">
        <v>0</v>
      </c>
      <c r="K10" s="22"/>
    </row>
    <row r="11" spans="1:11" x14ac:dyDescent="0.25">
      <c r="B11" s="23">
        <v>4</v>
      </c>
      <c r="C11" s="24" t="s">
        <v>82</v>
      </c>
      <c r="D11" s="25">
        <v>3500000</v>
      </c>
      <c r="E11" s="26">
        <v>0</v>
      </c>
      <c r="F11" s="26">
        <v>-1000000</v>
      </c>
      <c r="G11" s="26">
        <v>1000000</v>
      </c>
      <c r="H11" s="26">
        <v>0</v>
      </c>
      <c r="I11" s="27">
        <v>0</v>
      </c>
      <c r="J11" s="28">
        <v>0</v>
      </c>
      <c r="K11" s="29"/>
    </row>
    <row r="12" spans="1:11" x14ac:dyDescent="0.25">
      <c r="B12" s="30">
        <v>5</v>
      </c>
      <c r="C12" s="31" t="s">
        <v>83</v>
      </c>
      <c r="D12" s="17">
        <v>1700000</v>
      </c>
      <c r="E12" s="19">
        <v>5000000</v>
      </c>
      <c r="F12" s="19">
        <v>0</v>
      </c>
      <c r="G12" s="19">
        <v>0</v>
      </c>
      <c r="H12" s="19">
        <v>0</v>
      </c>
      <c r="I12" s="20">
        <v>60000</v>
      </c>
      <c r="J12" s="21">
        <v>0</v>
      </c>
      <c r="K12" s="22"/>
    </row>
    <row r="13" spans="1:11" x14ac:dyDescent="0.25">
      <c r="B13" s="23">
        <v>6</v>
      </c>
      <c r="C13" s="24" t="s">
        <v>84</v>
      </c>
      <c r="D13" s="25">
        <v>2100000</v>
      </c>
      <c r="E13" s="26">
        <v>454545.45454545453</v>
      </c>
      <c r="F13" s="26">
        <v>58823.529411764706</v>
      </c>
      <c r="G13" s="26">
        <v>0</v>
      </c>
      <c r="H13" s="26">
        <v>0</v>
      </c>
      <c r="I13" s="27">
        <v>50000</v>
      </c>
      <c r="J13" s="28">
        <v>0</v>
      </c>
      <c r="K13" s="29"/>
    </row>
    <row r="14" spans="1:11" x14ac:dyDescent="0.25">
      <c r="B14" s="30">
        <v>7</v>
      </c>
      <c r="C14" s="31" t="s">
        <v>85</v>
      </c>
      <c r="D14" s="17">
        <v>1500000</v>
      </c>
      <c r="E14" s="19">
        <v>0</v>
      </c>
      <c r="F14" s="19">
        <v>0</v>
      </c>
      <c r="G14" s="19">
        <v>0</v>
      </c>
      <c r="H14" s="19">
        <v>49226.441631504924</v>
      </c>
      <c r="I14" s="20">
        <v>0</v>
      </c>
      <c r="J14" s="21">
        <v>0</v>
      </c>
      <c r="K14" s="22"/>
    </row>
    <row r="15" spans="1:11" x14ac:dyDescent="0.25">
      <c r="B15" s="23">
        <v>8</v>
      </c>
      <c r="C15" s="24" t="s">
        <v>86</v>
      </c>
      <c r="D15" s="25">
        <v>2200000</v>
      </c>
      <c r="E15" s="26">
        <v>1340909.0909090908</v>
      </c>
      <c r="F15" s="26">
        <v>520588.23529411765</v>
      </c>
      <c r="G15" s="26">
        <v>0</v>
      </c>
      <c r="H15" s="26">
        <v>0</v>
      </c>
      <c r="I15" s="27">
        <v>0</v>
      </c>
      <c r="J15" s="28">
        <v>0</v>
      </c>
      <c r="K15" s="29"/>
    </row>
    <row r="16" spans="1:11" x14ac:dyDescent="0.25">
      <c r="B16" s="30">
        <v>9</v>
      </c>
      <c r="C16" s="31" t="s">
        <v>87</v>
      </c>
      <c r="D16" s="17">
        <v>1500000</v>
      </c>
      <c r="E16" s="19">
        <v>227272.72727272726</v>
      </c>
      <c r="F16" s="19">
        <v>88235.294117647063</v>
      </c>
      <c r="G16" s="19">
        <v>0</v>
      </c>
      <c r="H16" s="19">
        <v>0</v>
      </c>
      <c r="I16" s="20">
        <v>0</v>
      </c>
      <c r="J16" s="21">
        <v>0</v>
      </c>
      <c r="K16" s="22"/>
    </row>
    <row r="17" spans="2:11" x14ac:dyDescent="0.25">
      <c r="B17" s="23">
        <v>10</v>
      </c>
      <c r="C17" s="24" t="s">
        <v>88</v>
      </c>
      <c r="D17" s="25">
        <v>9000000</v>
      </c>
      <c r="E17" s="26">
        <v>3409090.9090909092</v>
      </c>
      <c r="F17" s="26">
        <v>0</v>
      </c>
      <c r="G17" s="26">
        <v>0</v>
      </c>
      <c r="H17" s="26">
        <v>0</v>
      </c>
      <c r="I17" s="27">
        <v>0</v>
      </c>
      <c r="J17" s="28">
        <v>0</v>
      </c>
      <c r="K17" s="29"/>
    </row>
    <row r="18" spans="2:11" x14ac:dyDescent="0.25">
      <c r="B18" s="30"/>
      <c r="C18" s="31"/>
      <c r="D18" s="17"/>
      <c r="E18" s="19"/>
      <c r="F18" s="19"/>
      <c r="G18" s="19"/>
      <c r="H18" s="19"/>
      <c r="I18" s="20"/>
      <c r="J18" s="21"/>
      <c r="K18" s="22"/>
    </row>
    <row r="19" spans="2:11" x14ac:dyDescent="0.25">
      <c r="B19" s="23"/>
      <c r="C19" s="24"/>
      <c r="D19" s="25"/>
      <c r="E19" s="32"/>
      <c r="F19" s="26"/>
      <c r="G19" s="26"/>
      <c r="H19" s="33"/>
      <c r="I19" s="27"/>
      <c r="J19" s="28"/>
      <c r="K19" s="29"/>
    </row>
    <row r="20" spans="2:11" x14ac:dyDescent="0.25">
      <c r="B20" s="30"/>
      <c r="C20" s="31"/>
      <c r="D20" s="17"/>
      <c r="E20" s="34"/>
      <c r="F20" s="19"/>
      <c r="G20" s="19"/>
      <c r="H20" s="35"/>
      <c r="I20" s="20"/>
      <c r="J20" s="21"/>
      <c r="K20" s="22"/>
    </row>
    <row r="21" spans="2:11" x14ac:dyDescent="0.25">
      <c r="B21" s="23"/>
      <c r="C21" s="24"/>
      <c r="D21" s="25"/>
      <c r="E21" s="32"/>
      <c r="F21" s="26"/>
      <c r="G21" s="26"/>
      <c r="H21" s="33"/>
      <c r="I21" s="27"/>
      <c r="J21" s="28"/>
      <c r="K21" s="29"/>
    </row>
    <row r="22" spans="2:11" x14ac:dyDescent="0.25">
      <c r="B22" s="30"/>
      <c r="C22" s="31"/>
      <c r="D22" s="17"/>
      <c r="E22" s="34"/>
      <c r="F22" s="19"/>
      <c r="G22" s="19"/>
      <c r="H22" s="35"/>
      <c r="I22" s="20"/>
      <c r="J22" s="21"/>
      <c r="K22" s="22"/>
    </row>
    <row r="23" spans="2:11" x14ac:dyDescent="0.25">
      <c r="B23" s="23"/>
      <c r="C23" s="24"/>
      <c r="D23" s="25"/>
      <c r="E23" s="32"/>
      <c r="F23" s="26"/>
      <c r="G23" s="26"/>
      <c r="H23" s="33"/>
      <c r="I23" s="27"/>
      <c r="J23" s="28"/>
      <c r="K23" s="29"/>
    </row>
    <row r="24" spans="2:11" x14ac:dyDescent="0.25">
      <c r="B24" s="30"/>
      <c r="C24" s="31"/>
      <c r="D24" s="17"/>
      <c r="E24" s="34"/>
      <c r="F24" s="19"/>
      <c r="G24" s="19"/>
      <c r="H24" s="35"/>
      <c r="I24" s="20"/>
      <c r="J24" s="21"/>
      <c r="K24" s="22"/>
    </row>
    <row r="25" spans="2:11" x14ac:dyDescent="0.25">
      <c r="B25" s="23"/>
      <c r="C25" s="24"/>
      <c r="D25" s="25"/>
      <c r="E25" s="32"/>
      <c r="F25" s="26"/>
      <c r="G25" s="26"/>
      <c r="H25" s="33"/>
      <c r="I25" s="27"/>
      <c r="J25" s="28"/>
      <c r="K25" s="29"/>
    </row>
    <row r="26" spans="2:11" x14ac:dyDescent="0.25">
      <c r="B26" s="30"/>
      <c r="C26" s="31"/>
      <c r="D26" s="17"/>
      <c r="E26" s="34"/>
      <c r="F26" s="19"/>
      <c r="G26" s="19"/>
      <c r="H26" s="35"/>
      <c r="I26" s="20"/>
      <c r="J26" s="21"/>
      <c r="K26" s="22"/>
    </row>
    <row r="27" spans="2:11" x14ac:dyDescent="0.25">
      <c r="B27" s="23"/>
      <c r="C27" s="24"/>
      <c r="D27" s="25"/>
      <c r="E27" s="32"/>
      <c r="F27" s="26"/>
      <c r="G27" s="26"/>
      <c r="H27" s="33"/>
      <c r="I27" s="27"/>
      <c r="J27" s="28"/>
      <c r="K27" s="29"/>
    </row>
    <row r="28" spans="2:11" x14ac:dyDescent="0.25">
      <c r="B28" s="30"/>
      <c r="C28" s="31"/>
      <c r="D28" s="17"/>
      <c r="E28" s="34"/>
      <c r="F28" s="19"/>
      <c r="G28" s="19"/>
      <c r="H28" s="35"/>
      <c r="I28" s="20"/>
      <c r="J28" s="21"/>
      <c r="K28" s="22"/>
    </row>
    <row r="29" spans="2:11" x14ac:dyDescent="0.25">
      <c r="B29" s="23"/>
      <c r="C29" s="24"/>
      <c r="D29" s="25"/>
      <c r="E29" s="32"/>
      <c r="F29" s="26"/>
      <c r="G29" s="26"/>
      <c r="H29" s="33"/>
      <c r="I29" s="27"/>
      <c r="J29" s="28"/>
      <c r="K29" s="29"/>
    </row>
    <row r="30" spans="2:11" x14ac:dyDescent="0.25">
      <c r="B30" s="30"/>
      <c r="C30" s="31"/>
      <c r="D30" s="17"/>
      <c r="E30" s="34"/>
      <c r="F30" s="19"/>
      <c r="G30" s="19"/>
      <c r="H30" s="35"/>
      <c r="I30" s="20"/>
      <c r="J30" s="21"/>
      <c r="K30" s="22"/>
    </row>
    <row r="31" spans="2:11" x14ac:dyDescent="0.25">
      <c r="B31" s="23"/>
      <c r="C31" s="24"/>
      <c r="D31" s="25"/>
      <c r="E31" s="32"/>
      <c r="F31" s="26"/>
      <c r="G31" s="26"/>
      <c r="H31" s="33"/>
      <c r="I31" s="27"/>
      <c r="J31" s="28"/>
      <c r="K31" s="29"/>
    </row>
    <row r="32" spans="2:11" ht="15.75" thickBot="1" x14ac:dyDescent="0.3">
      <c r="B32" s="36"/>
      <c r="C32" s="37"/>
      <c r="D32" s="38"/>
      <c r="E32" s="39"/>
      <c r="F32" s="40"/>
      <c r="G32" s="40"/>
      <c r="H32" s="41"/>
      <c r="I32" s="42"/>
      <c r="J32" s="43"/>
      <c r="K32" s="44"/>
    </row>
  </sheetData>
  <sheetProtection algorithmName="SHA-512" hashValue="l0AVOwT4b7XHCpin3VL85tZw90NTpMAxrbwo3jUg5m45ZTDT9y+0z1kOsIbhtzu5HK8N6Nm6xsqOYqMzwAvfvg==" saltValue="hJOQb3Wm30afMIy56vBEiQ==" spinCount="100000" sheet="1" objects="1" scenarios="1"/>
  <mergeCells count="4">
    <mergeCell ref="I6:J6"/>
    <mergeCell ref="K6:K7"/>
    <mergeCell ref="H2:H3"/>
    <mergeCell ref="D6:D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A28"/>
  <sheetViews>
    <sheetView workbookViewId="0">
      <selection activeCell="D19" sqref="D19"/>
    </sheetView>
  </sheetViews>
  <sheetFormatPr defaultColWidth="8.85546875" defaultRowHeight="15" x14ac:dyDescent="0.25"/>
  <cols>
    <col min="1" max="1" width="8.85546875" style="106"/>
    <col min="2" max="2" width="10" style="106" bestFit="1" customWidth="1"/>
    <col min="3" max="3" width="6.28515625" style="106" bestFit="1" customWidth="1"/>
    <col min="4" max="4" width="54.85546875" style="106" bestFit="1" customWidth="1"/>
    <col min="5" max="5" width="10.42578125" style="106" bestFit="1" customWidth="1"/>
    <col min="6" max="6" width="15.7109375" style="106" bestFit="1" customWidth="1"/>
    <col min="7" max="7" width="26.42578125" style="106" bestFit="1" customWidth="1"/>
    <col min="8" max="8" width="12.7109375" style="106" bestFit="1" customWidth="1"/>
    <col min="9" max="9" width="12.140625" style="106" bestFit="1" customWidth="1"/>
    <col min="10" max="10" width="15.42578125" style="106" bestFit="1" customWidth="1"/>
    <col min="11" max="11" width="16.42578125" style="106" bestFit="1" customWidth="1"/>
    <col min="12" max="12" width="15.7109375" style="106" bestFit="1" customWidth="1"/>
    <col min="13" max="13" width="26.42578125" style="106" bestFit="1" customWidth="1"/>
    <col min="14" max="14" width="12.7109375" style="106" bestFit="1" customWidth="1"/>
    <col min="15" max="15" width="12.140625" style="106" bestFit="1" customWidth="1"/>
    <col min="16" max="16" width="15.42578125" style="106" bestFit="1" customWidth="1"/>
    <col min="17" max="17" width="16.42578125" style="106" bestFit="1" customWidth="1"/>
    <col min="18" max="18" width="13.85546875" style="106" bestFit="1" customWidth="1"/>
    <col min="19" max="19" width="10.28515625" style="106" bestFit="1" customWidth="1"/>
    <col min="20" max="20" width="10.140625" style="106" bestFit="1" customWidth="1"/>
    <col min="21" max="21" width="8.85546875" style="106"/>
    <col min="22" max="22" width="12.42578125" style="106" bestFit="1" customWidth="1"/>
    <col min="23" max="23" width="13.42578125" style="106" bestFit="1" customWidth="1"/>
    <col min="24" max="26" width="12.42578125" style="106" bestFit="1" customWidth="1"/>
    <col min="27" max="16384" width="8.85546875" style="106"/>
  </cols>
  <sheetData>
    <row r="1" spans="2:27" x14ac:dyDescent="0.25">
      <c r="F1" s="163" t="s">
        <v>52</v>
      </c>
      <c r="G1" s="163"/>
      <c r="H1" s="163"/>
      <c r="I1" s="163"/>
      <c r="J1" s="163"/>
      <c r="K1" s="163"/>
      <c r="L1" s="162" t="s">
        <v>51</v>
      </c>
      <c r="M1" s="162"/>
      <c r="N1" s="162"/>
      <c r="O1" s="162"/>
      <c r="P1" s="162"/>
      <c r="Q1" s="162"/>
      <c r="R1" s="107">
        <f>Summary!J9</f>
        <v>0.21</v>
      </c>
      <c r="S1" s="107">
        <f>OM</f>
        <v>1.4999999999999999E-2</v>
      </c>
      <c r="T1" s="107">
        <f>MV</f>
        <v>1.5E-3</v>
      </c>
      <c r="V1" s="108">
        <f>'ECM Input'!D3</f>
        <v>0.11</v>
      </c>
      <c r="W1" s="108">
        <f>'ECM Input'!E3</f>
        <v>0.85</v>
      </c>
      <c r="X1" s="108">
        <f>'ECM Input'!F3</f>
        <v>1</v>
      </c>
      <c r="Y1" s="108">
        <f>'ECM Input'!G3</f>
        <v>7.11</v>
      </c>
    </row>
    <row r="2" spans="2:27" x14ac:dyDescent="0.25">
      <c r="B2" s="106" t="s">
        <v>49</v>
      </c>
      <c r="C2" s="106" t="s">
        <v>26</v>
      </c>
      <c r="D2" s="106" t="s">
        <v>36</v>
      </c>
      <c r="E2" s="106" t="s">
        <v>50</v>
      </c>
      <c r="F2" s="109" t="s">
        <v>15</v>
      </c>
      <c r="G2" s="109" t="s">
        <v>16</v>
      </c>
      <c r="H2" s="109" t="s">
        <v>17</v>
      </c>
      <c r="I2" s="109" t="s">
        <v>18</v>
      </c>
      <c r="J2" s="109" t="s">
        <v>28</v>
      </c>
      <c r="K2" s="109" t="s">
        <v>29</v>
      </c>
      <c r="L2" s="110" t="s">
        <v>15</v>
      </c>
      <c r="M2" s="110" t="s">
        <v>16</v>
      </c>
      <c r="N2" s="110" t="s">
        <v>17</v>
      </c>
      <c r="O2" s="110" t="s">
        <v>18</v>
      </c>
      <c r="P2" s="110" t="s">
        <v>28</v>
      </c>
      <c r="Q2" s="110" t="s">
        <v>29</v>
      </c>
      <c r="R2" s="110" t="s">
        <v>54</v>
      </c>
      <c r="S2" s="111" t="s">
        <v>44</v>
      </c>
      <c r="T2" s="111" t="s">
        <v>46</v>
      </c>
      <c r="U2" s="111" t="s">
        <v>63</v>
      </c>
      <c r="V2" s="111" t="s">
        <v>65</v>
      </c>
      <c r="W2" s="111" t="s">
        <v>66</v>
      </c>
      <c r="X2" s="111" t="s">
        <v>67</v>
      </c>
      <c r="Y2" s="111" t="s">
        <v>68</v>
      </c>
      <c r="Z2" s="111" t="s">
        <v>64</v>
      </c>
      <c r="AA2" s="111" t="s">
        <v>35</v>
      </c>
    </row>
    <row r="3" spans="2:27" x14ac:dyDescent="0.25">
      <c r="B3" s="106" t="str">
        <f>Summary!G4</f>
        <v>Yes</v>
      </c>
      <c r="C3" s="106">
        <f>'ECM Input'!B8</f>
        <v>1</v>
      </c>
      <c r="D3" s="106" t="str">
        <f>'ECM Input'!C8</f>
        <v>Central Steam Plant Upgrades</v>
      </c>
      <c r="E3" s="106">
        <f>IF($B3="YES",'ECM Input'!D8,0)</f>
        <v>6500000</v>
      </c>
      <c r="F3" s="106">
        <f>IF($B3="YES",'ECM Input'!E8,0)</f>
        <v>2500000</v>
      </c>
      <c r="G3" s="106">
        <f>IF($B3="YES",'ECM Input'!F8,0)</f>
        <v>323529.4117647059</v>
      </c>
      <c r="H3" s="106">
        <f>IF($B3="YES",'ECM Input'!G8,0)</f>
        <v>0</v>
      </c>
      <c r="I3" s="106">
        <f>IF($B3="YES",'ECM Input'!H8,0)</f>
        <v>0</v>
      </c>
      <c r="J3" s="106">
        <f>IF($B3="YES",'ECM Input'!I8,0)</f>
        <v>250000</v>
      </c>
      <c r="K3" s="106">
        <f>IF($B3="YES",'ECM Input'!J8,0)</f>
        <v>0</v>
      </c>
      <c r="L3" s="112">
        <f>F3*Summary!$J$12</f>
        <v>2375000</v>
      </c>
      <c r="M3" s="112">
        <f>G3*Summary!$J$12</f>
        <v>307352.9411764706</v>
      </c>
      <c r="N3" s="112">
        <f>H3*Summary!$J$12</f>
        <v>0</v>
      </c>
      <c r="O3" s="112">
        <f>I3*Summary!$J$12</f>
        <v>0</v>
      </c>
      <c r="P3" s="112">
        <f>J3*Summary!$J$12</f>
        <v>237500</v>
      </c>
      <c r="Q3" s="112">
        <f>K3*Summary!$J$12</f>
        <v>0</v>
      </c>
      <c r="R3" s="113">
        <f>E3*(1+R$1)</f>
        <v>7865000</v>
      </c>
      <c r="S3" s="113">
        <f>E3*(S$1)</f>
        <v>97500</v>
      </c>
      <c r="T3" s="113">
        <f>E3*(T$1)</f>
        <v>9750</v>
      </c>
      <c r="U3" s="106">
        <f>SUM(M3:N3)+0.003412*L3</f>
        <v>315456.4411764706</v>
      </c>
      <c r="V3" s="114">
        <f>L3*V$1</f>
        <v>261250</v>
      </c>
      <c r="W3" s="114">
        <f t="shared" ref="W3:Y3" si="0">M3*W$1</f>
        <v>261250</v>
      </c>
      <c r="X3" s="114">
        <f t="shared" si="0"/>
        <v>0</v>
      </c>
      <c r="Y3" s="114">
        <f t="shared" si="0"/>
        <v>0</v>
      </c>
      <c r="Z3" s="114">
        <f>SUM(V3:Y3)+P3+Q3</f>
        <v>760000</v>
      </c>
      <c r="AA3" s="115">
        <f>IFERROR(R3/Z3,"")</f>
        <v>10.348684210526315</v>
      </c>
    </row>
    <row r="4" spans="2:27" x14ac:dyDescent="0.25">
      <c r="B4" s="106" t="str">
        <f>Summary!G5</f>
        <v>No</v>
      </c>
      <c r="C4" s="106">
        <f>'ECM Input'!B9</f>
        <v>2</v>
      </c>
      <c r="D4" s="106" t="str">
        <f>'ECM Input'!C9</f>
        <v>Chiller Plant Upgrades</v>
      </c>
      <c r="E4" s="106">
        <f>IF($B4="YES",'ECM Input'!D9,0)</f>
        <v>0</v>
      </c>
      <c r="F4" s="106">
        <f>IF($B4="YES",'ECM Input'!E9,0)</f>
        <v>0</v>
      </c>
      <c r="G4" s="106">
        <f>IF($B4="YES",'ECM Input'!F9,0)</f>
        <v>0</v>
      </c>
      <c r="H4" s="106">
        <f>IF($B4="YES",'ECM Input'!G9,0)</f>
        <v>0</v>
      </c>
      <c r="I4" s="106">
        <f>IF($B4="YES",'ECM Input'!H9,0)</f>
        <v>0</v>
      </c>
      <c r="J4" s="106">
        <f>IF($B4="YES",'ECM Input'!I9,0)</f>
        <v>0</v>
      </c>
      <c r="K4" s="106">
        <f>IF($B4="YES",'ECM Input'!J9,0)</f>
        <v>0</v>
      </c>
      <c r="L4" s="112">
        <f>F4*Summary!$J$12</f>
        <v>0</v>
      </c>
      <c r="M4" s="112">
        <f>G4*Summary!$J$12</f>
        <v>0</v>
      </c>
      <c r="N4" s="112">
        <f>H4*Summary!$J$12</f>
        <v>0</v>
      </c>
      <c r="O4" s="112">
        <f>I4*Summary!$J$12</f>
        <v>0</v>
      </c>
      <c r="P4" s="112">
        <f>J4*Summary!$J$12</f>
        <v>0</v>
      </c>
      <c r="Q4" s="112">
        <f>K4*Summary!$J$12</f>
        <v>0</v>
      </c>
      <c r="R4" s="113">
        <f t="shared" ref="R4:R27" si="1">E4*(1+R$1)</f>
        <v>0</v>
      </c>
      <c r="S4" s="113">
        <f t="shared" ref="S4:S27" si="2">E4*(S$1)</f>
        <v>0</v>
      </c>
      <c r="T4" s="113">
        <f t="shared" ref="T4:T27" si="3">E4*(T$1)</f>
        <v>0</v>
      </c>
      <c r="U4" s="106">
        <f t="shared" ref="U4:U27" si="4">SUM(M4:N4)+0.003412*L4</f>
        <v>0</v>
      </c>
      <c r="V4" s="114">
        <f t="shared" ref="V4:V27" si="5">L4*V$1</f>
        <v>0</v>
      </c>
      <c r="W4" s="114">
        <f t="shared" ref="W4:W27" si="6">M4*W$1</f>
        <v>0</v>
      </c>
      <c r="X4" s="114">
        <f t="shared" ref="X4:X27" si="7">N4*X$1</f>
        <v>0</v>
      </c>
      <c r="Y4" s="114">
        <f t="shared" ref="Y4:Y27" si="8">O4*Y$1</f>
        <v>0</v>
      </c>
      <c r="Z4" s="114">
        <f t="shared" ref="Z4:Z27" si="9">SUM(V4:Y4)+P4+Q4</f>
        <v>0</v>
      </c>
      <c r="AA4" s="115" t="str">
        <f t="shared" ref="AA4:AA27" si="10">IFERROR(R4/Z4,"")</f>
        <v/>
      </c>
    </row>
    <row r="5" spans="2:27" x14ac:dyDescent="0.25">
      <c r="B5" s="106" t="str">
        <f>Summary!G6</f>
        <v>Yes</v>
      </c>
      <c r="C5" s="106">
        <f>'ECM Input'!B10</f>
        <v>3</v>
      </c>
      <c r="D5" s="106" t="str">
        <f>'ECM Input'!C10</f>
        <v>Steam Distribution Repair</v>
      </c>
      <c r="E5" s="106">
        <f>IF($B5="YES",'ECM Input'!D10,0)</f>
        <v>1200000</v>
      </c>
      <c r="F5" s="106">
        <f>IF($B5="YES",'ECM Input'!E10,0)</f>
        <v>0</v>
      </c>
      <c r="G5" s="106">
        <f>IF($B5="YES",'ECM Input'!F10,0)</f>
        <v>79411.76470588235</v>
      </c>
      <c r="H5" s="106">
        <f>IF($B5="YES",'ECM Input'!G10,0)</f>
        <v>0</v>
      </c>
      <c r="I5" s="106">
        <f>IF($B5="YES",'ECM Input'!H10,0)</f>
        <v>3164.5569620253164</v>
      </c>
      <c r="J5" s="106">
        <f>IF($B5="YES",'ECM Input'!I10,0)</f>
        <v>50000</v>
      </c>
      <c r="K5" s="106">
        <f>IF($B5="YES",'ECM Input'!J10,0)</f>
        <v>0</v>
      </c>
      <c r="L5" s="112">
        <f>F5*Summary!$J$12</f>
        <v>0</v>
      </c>
      <c r="M5" s="112">
        <f>G5*Summary!$J$12</f>
        <v>75441.176470588223</v>
      </c>
      <c r="N5" s="112">
        <f>H5*Summary!$J$12</f>
        <v>0</v>
      </c>
      <c r="O5" s="112">
        <f>I5*Summary!$J$12</f>
        <v>3006.3291139240505</v>
      </c>
      <c r="P5" s="112">
        <f>J5*Summary!$J$12</f>
        <v>47500</v>
      </c>
      <c r="Q5" s="112">
        <f>K5*Summary!$J$12</f>
        <v>0</v>
      </c>
      <c r="R5" s="113">
        <f t="shared" si="1"/>
        <v>1452000</v>
      </c>
      <c r="S5" s="113">
        <f t="shared" si="2"/>
        <v>18000</v>
      </c>
      <c r="T5" s="113">
        <f t="shared" si="3"/>
        <v>1800</v>
      </c>
      <c r="U5" s="106">
        <f t="shared" si="4"/>
        <v>75441.176470588223</v>
      </c>
      <c r="V5" s="114">
        <f t="shared" si="5"/>
        <v>0</v>
      </c>
      <c r="W5" s="114">
        <f t="shared" si="6"/>
        <v>64124.999999999985</v>
      </c>
      <c r="X5" s="114">
        <f t="shared" si="7"/>
        <v>0</v>
      </c>
      <c r="Y5" s="114">
        <f t="shared" si="8"/>
        <v>21375</v>
      </c>
      <c r="Z5" s="114">
        <f t="shared" si="9"/>
        <v>133000</v>
      </c>
      <c r="AA5" s="115">
        <f t="shared" si="10"/>
        <v>10.917293233082706</v>
      </c>
    </row>
    <row r="6" spans="2:27" x14ac:dyDescent="0.25">
      <c r="B6" s="106" t="str">
        <f>Summary!G7</f>
        <v>Yes</v>
      </c>
      <c r="C6" s="106">
        <f>'ECM Input'!B11</f>
        <v>4</v>
      </c>
      <c r="D6" s="106" t="str">
        <f>'ECM Input'!C11</f>
        <v>Fuel  Conversion</v>
      </c>
      <c r="E6" s="106">
        <f>IF($B6="YES",'ECM Input'!D11,0)</f>
        <v>3500000</v>
      </c>
      <c r="F6" s="106">
        <f>IF($B6="YES",'ECM Input'!E11,0)</f>
        <v>0</v>
      </c>
      <c r="G6" s="106">
        <f>IF($B6="YES",'ECM Input'!F11,0)</f>
        <v>-1000000</v>
      </c>
      <c r="H6" s="106">
        <f>IF($B6="YES",'ECM Input'!G11,0)</f>
        <v>1000000</v>
      </c>
      <c r="I6" s="106">
        <f>IF($B6="YES",'ECM Input'!H11,0)</f>
        <v>0</v>
      </c>
      <c r="J6" s="106">
        <f>IF($B6="YES",'ECM Input'!I11,0)</f>
        <v>0</v>
      </c>
      <c r="K6" s="106">
        <f>IF($B6="YES",'ECM Input'!J11,0)</f>
        <v>0</v>
      </c>
      <c r="L6" s="112">
        <f>F6*Summary!$J$12</f>
        <v>0</v>
      </c>
      <c r="M6" s="112">
        <f>G6*Summary!$J$12</f>
        <v>-950000</v>
      </c>
      <c r="N6" s="112">
        <f>H6*Summary!$J$12</f>
        <v>950000</v>
      </c>
      <c r="O6" s="112">
        <f>I6*Summary!$J$12</f>
        <v>0</v>
      </c>
      <c r="P6" s="112">
        <f>J6*Summary!$J$12</f>
        <v>0</v>
      </c>
      <c r="Q6" s="112">
        <f>K6*Summary!$J$12</f>
        <v>0</v>
      </c>
      <c r="R6" s="113">
        <f t="shared" si="1"/>
        <v>4235000</v>
      </c>
      <c r="S6" s="113">
        <f t="shared" si="2"/>
        <v>52500</v>
      </c>
      <c r="T6" s="113">
        <f t="shared" si="3"/>
        <v>5250</v>
      </c>
      <c r="U6" s="106">
        <f t="shared" si="4"/>
        <v>0</v>
      </c>
      <c r="V6" s="114">
        <f t="shared" si="5"/>
        <v>0</v>
      </c>
      <c r="W6" s="114">
        <f t="shared" si="6"/>
        <v>-807500</v>
      </c>
      <c r="X6" s="114">
        <f t="shared" si="7"/>
        <v>950000</v>
      </c>
      <c r="Y6" s="114">
        <f t="shared" si="8"/>
        <v>0</v>
      </c>
      <c r="Z6" s="114">
        <f t="shared" si="9"/>
        <v>142500</v>
      </c>
      <c r="AA6" s="115">
        <f t="shared" si="10"/>
        <v>29.719298245614034</v>
      </c>
    </row>
    <row r="7" spans="2:27" x14ac:dyDescent="0.25">
      <c r="B7" s="106" t="str">
        <f>Summary!G8</f>
        <v>No</v>
      </c>
      <c r="C7" s="106">
        <f>'ECM Input'!B12</f>
        <v>5</v>
      </c>
      <c r="D7" s="106" t="str">
        <f>'ECM Input'!C12</f>
        <v>Interior Lighting</v>
      </c>
      <c r="E7" s="106">
        <f>IF($B7="YES",'ECM Input'!D12,0)</f>
        <v>0</v>
      </c>
      <c r="F7" s="106">
        <f>IF($B7="YES",'ECM Input'!E12,0)</f>
        <v>0</v>
      </c>
      <c r="G7" s="106">
        <f>IF($B7="YES",'ECM Input'!F12,0)</f>
        <v>0</v>
      </c>
      <c r="H7" s="106">
        <f>IF($B7="YES",'ECM Input'!G12,0)</f>
        <v>0</v>
      </c>
      <c r="I7" s="106">
        <f>IF($B7="YES",'ECM Input'!H12,0)</f>
        <v>0</v>
      </c>
      <c r="J7" s="106">
        <f>IF($B7="YES",'ECM Input'!I12,0)</f>
        <v>0</v>
      </c>
      <c r="K7" s="106">
        <f>IF($B7="YES",'ECM Input'!J12,0)</f>
        <v>0</v>
      </c>
      <c r="L7" s="112">
        <f>F7*Summary!$J$12</f>
        <v>0</v>
      </c>
      <c r="M7" s="112">
        <f>G7*Summary!$J$12</f>
        <v>0</v>
      </c>
      <c r="N7" s="112">
        <f>H7*Summary!$J$12</f>
        <v>0</v>
      </c>
      <c r="O7" s="112">
        <f>I7*Summary!$J$12</f>
        <v>0</v>
      </c>
      <c r="P7" s="112">
        <f>J7*Summary!$J$12</f>
        <v>0</v>
      </c>
      <c r="Q7" s="112">
        <f>K7*Summary!$J$12</f>
        <v>0</v>
      </c>
      <c r="R7" s="113">
        <f t="shared" si="1"/>
        <v>0</v>
      </c>
      <c r="S7" s="113">
        <f t="shared" si="2"/>
        <v>0</v>
      </c>
      <c r="T7" s="113">
        <f t="shared" si="3"/>
        <v>0</v>
      </c>
      <c r="U7" s="106">
        <f t="shared" si="4"/>
        <v>0</v>
      </c>
      <c r="V7" s="114">
        <f t="shared" si="5"/>
        <v>0</v>
      </c>
      <c r="W7" s="114">
        <f t="shared" si="6"/>
        <v>0</v>
      </c>
      <c r="X7" s="114">
        <f t="shared" si="7"/>
        <v>0</v>
      </c>
      <c r="Y7" s="114">
        <f t="shared" si="8"/>
        <v>0</v>
      </c>
      <c r="Z7" s="114">
        <f t="shared" si="9"/>
        <v>0</v>
      </c>
      <c r="AA7" s="115" t="str">
        <f t="shared" si="10"/>
        <v/>
      </c>
    </row>
    <row r="8" spans="2:27" x14ac:dyDescent="0.25">
      <c r="B8" s="106" t="str">
        <f>Summary!G9</f>
        <v>Yes</v>
      </c>
      <c r="C8" s="106">
        <f>'ECM Input'!B13</f>
        <v>6</v>
      </c>
      <c r="D8" s="106" t="str">
        <f>'ECM Input'!C13</f>
        <v>Control System Upgrades</v>
      </c>
      <c r="E8" s="106">
        <f>IF($B8="YES",'ECM Input'!D13,0)</f>
        <v>2100000</v>
      </c>
      <c r="F8" s="106">
        <f>IF($B8="YES",'ECM Input'!E13,0)</f>
        <v>454545.45454545453</v>
      </c>
      <c r="G8" s="106">
        <f>IF($B8="YES",'ECM Input'!F13,0)</f>
        <v>58823.529411764706</v>
      </c>
      <c r="H8" s="106">
        <f>IF($B8="YES",'ECM Input'!G13,0)</f>
        <v>0</v>
      </c>
      <c r="I8" s="106">
        <f>IF($B8="YES",'ECM Input'!H13,0)</f>
        <v>0</v>
      </c>
      <c r="J8" s="106">
        <f>IF($B8="YES",'ECM Input'!I13,0)</f>
        <v>50000</v>
      </c>
      <c r="K8" s="106">
        <f>IF($B8="YES",'ECM Input'!J13,0)</f>
        <v>0</v>
      </c>
      <c r="L8" s="112">
        <f>F8*Summary!$J$12</f>
        <v>431818.18181818177</v>
      </c>
      <c r="M8" s="112">
        <f>G8*Summary!$J$12</f>
        <v>55882.352941176468</v>
      </c>
      <c r="N8" s="112">
        <f>H8*Summary!$J$12</f>
        <v>0</v>
      </c>
      <c r="O8" s="112">
        <f>I8*Summary!$J$12</f>
        <v>0</v>
      </c>
      <c r="P8" s="112">
        <f>J8*Summary!$J$12</f>
        <v>47500</v>
      </c>
      <c r="Q8" s="112">
        <f>K8*Summary!$J$12</f>
        <v>0</v>
      </c>
      <c r="R8" s="113">
        <f t="shared" si="1"/>
        <v>2541000</v>
      </c>
      <c r="S8" s="113">
        <f t="shared" si="2"/>
        <v>31500</v>
      </c>
      <c r="T8" s="113">
        <f t="shared" si="3"/>
        <v>3150</v>
      </c>
      <c r="U8" s="106">
        <f t="shared" si="4"/>
        <v>57355.716577540108</v>
      </c>
      <c r="V8" s="114">
        <f t="shared" si="5"/>
        <v>47499.999999999993</v>
      </c>
      <c r="W8" s="114">
        <f t="shared" si="6"/>
        <v>47500</v>
      </c>
      <c r="X8" s="114">
        <f t="shared" si="7"/>
        <v>0</v>
      </c>
      <c r="Y8" s="114">
        <f t="shared" si="8"/>
        <v>0</v>
      </c>
      <c r="Z8" s="114">
        <f t="shared" si="9"/>
        <v>142500</v>
      </c>
      <c r="AA8" s="115">
        <f t="shared" si="10"/>
        <v>17.831578947368421</v>
      </c>
    </row>
    <row r="9" spans="2:27" x14ac:dyDescent="0.25">
      <c r="B9" s="106" t="str">
        <f>Summary!G10</f>
        <v>Yes</v>
      </c>
      <c r="C9" s="106">
        <f>'ECM Input'!B14</f>
        <v>7</v>
      </c>
      <c r="D9" s="106" t="str">
        <f>'ECM Input'!C14</f>
        <v>Water Improvements</v>
      </c>
      <c r="E9" s="106">
        <f>IF($B9="YES",'ECM Input'!D14,0)</f>
        <v>1500000</v>
      </c>
      <c r="F9" s="106">
        <f>IF($B9="YES",'ECM Input'!E14,0)</f>
        <v>0</v>
      </c>
      <c r="G9" s="106">
        <f>IF($B9="YES",'ECM Input'!F14,0)</f>
        <v>0</v>
      </c>
      <c r="H9" s="106">
        <f>IF($B9="YES",'ECM Input'!G14,0)</f>
        <v>0</v>
      </c>
      <c r="I9" s="106">
        <f>IF($B9="YES",'ECM Input'!H14,0)</f>
        <v>49226.441631504924</v>
      </c>
      <c r="J9" s="106">
        <f>IF($B9="YES",'ECM Input'!I14,0)</f>
        <v>0</v>
      </c>
      <c r="K9" s="106">
        <f>IF($B9="YES",'ECM Input'!J14,0)</f>
        <v>0</v>
      </c>
      <c r="L9" s="112">
        <f>F9*Summary!$J$12</f>
        <v>0</v>
      </c>
      <c r="M9" s="112">
        <f>G9*Summary!$J$12</f>
        <v>0</v>
      </c>
      <c r="N9" s="112">
        <f>H9*Summary!$J$12</f>
        <v>0</v>
      </c>
      <c r="O9" s="112">
        <f>I9*Summary!$J$12</f>
        <v>46765.119549929674</v>
      </c>
      <c r="P9" s="112">
        <f>J9*Summary!$J$12</f>
        <v>0</v>
      </c>
      <c r="Q9" s="112">
        <f>K9*Summary!$J$12</f>
        <v>0</v>
      </c>
      <c r="R9" s="113">
        <f t="shared" si="1"/>
        <v>1815000</v>
      </c>
      <c r="S9" s="113">
        <f t="shared" si="2"/>
        <v>22500</v>
      </c>
      <c r="T9" s="113">
        <f t="shared" si="3"/>
        <v>2250</v>
      </c>
      <c r="U9" s="106">
        <f t="shared" si="4"/>
        <v>0</v>
      </c>
      <c r="V9" s="114">
        <f t="shared" si="5"/>
        <v>0</v>
      </c>
      <c r="W9" s="114">
        <f t="shared" si="6"/>
        <v>0</v>
      </c>
      <c r="X9" s="114">
        <f t="shared" si="7"/>
        <v>0</v>
      </c>
      <c r="Y9" s="114">
        <f t="shared" si="8"/>
        <v>332500</v>
      </c>
      <c r="Z9" s="114">
        <f t="shared" si="9"/>
        <v>332500</v>
      </c>
      <c r="AA9" s="115">
        <f t="shared" si="10"/>
        <v>5.458646616541353</v>
      </c>
    </row>
    <row r="10" spans="2:27" x14ac:dyDescent="0.25">
      <c r="B10" s="106" t="str">
        <f>Summary!G11</f>
        <v>Yes</v>
      </c>
      <c r="C10" s="106">
        <f>'ECM Input'!B15</f>
        <v>8</v>
      </c>
      <c r="D10" s="106" t="str">
        <f>'ECM Input'!C15</f>
        <v>HVAC Retrofits</v>
      </c>
      <c r="E10" s="106">
        <f>IF($B10="YES",'ECM Input'!D15,0)</f>
        <v>2200000</v>
      </c>
      <c r="F10" s="106">
        <f>IF($B10="YES",'ECM Input'!E15,0)</f>
        <v>1340909.0909090908</v>
      </c>
      <c r="G10" s="106">
        <f>IF($B10="YES",'ECM Input'!F15,0)</f>
        <v>520588.23529411765</v>
      </c>
      <c r="H10" s="106">
        <f>IF($B10="YES",'ECM Input'!G15,0)</f>
        <v>0</v>
      </c>
      <c r="I10" s="106">
        <f>IF($B10="YES",'ECM Input'!H15,0)</f>
        <v>0</v>
      </c>
      <c r="J10" s="106">
        <f>IF($B10="YES",'ECM Input'!I15,0)</f>
        <v>0</v>
      </c>
      <c r="K10" s="106">
        <f>IF($B10="YES",'ECM Input'!J15,0)</f>
        <v>0</v>
      </c>
      <c r="L10" s="112">
        <f>F10*Summary!$J$12</f>
        <v>1273863.6363636362</v>
      </c>
      <c r="M10" s="112">
        <f>G10*Summary!$J$12</f>
        <v>494558.82352941175</v>
      </c>
      <c r="N10" s="112">
        <f>H10*Summary!$J$12</f>
        <v>0</v>
      </c>
      <c r="O10" s="112">
        <f>I10*Summary!$J$12</f>
        <v>0</v>
      </c>
      <c r="P10" s="112">
        <f>J10*Summary!$J$12</f>
        <v>0</v>
      </c>
      <c r="Q10" s="112">
        <f>K10*Summary!$J$12</f>
        <v>0</v>
      </c>
      <c r="R10" s="113">
        <f t="shared" si="1"/>
        <v>2662000</v>
      </c>
      <c r="S10" s="113">
        <f t="shared" si="2"/>
        <v>33000</v>
      </c>
      <c r="T10" s="113">
        <f t="shared" si="3"/>
        <v>3300</v>
      </c>
      <c r="U10" s="106">
        <f t="shared" si="4"/>
        <v>498905.24625668448</v>
      </c>
      <c r="V10" s="114">
        <f t="shared" si="5"/>
        <v>140125</v>
      </c>
      <c r="W10" s="114">
        <f t="shared" si="6"/>
        <v>420375</v>
      </c>
      <c r="X10" s="114">
        <f t="shared" si="7"/>
        <v>0</v>
      </c>
      <c r="Y10" s="114">
        <f t="shared" si="8"/>
        <v>0</v>
      </c>
      <c r="Z10" s="114">
        <f t="shared" si="9"/>
        <v>560500</v>
      </c>
      <c r="AA10" s="115">
        <f t="shared" si="10"/>
        <v>4.7493309545049067</v>
      </c>
    </row>
    <row r="11" spans="2:27" x14ac:dyDescent="0.25">
      <c r="B11" s="106" t="str">
        <f>Summary!G12</f>
        <v>Yes</v>
      </c>
      <c r="C11" s="106">
        <f>'ECM Input'!B16</f>
        <v>9</v>
      </c>
      <c r="D11" s="106" t="str">
        <f>'ECM Input'!C16</f>
        <v>Building Envelope Improvements</v>
      </c>
      <c r="E11" s="106">
        <f>IF($B11="YES",'ECM Input'!D16,0)</f>
        <v>1500000</v>
      </c>
      <c r="F11" s="106">
        <f>IF($B11="YES",'ECM Input'!E16,0)</f>
        <v>227272.72727272726</v>
      </c>
      <c r="G11" s="106">
        <f>IF($B11="YES",'ECM Input'!F16,0)</f>
        <v>88235.294117647063</v>
      </c>
      <c r="H11" s="106">
        <f>IF($B11="YES",'ECM Input'!G16,0)</f>
        <v>0</v>
      </c>
      <c r="I11" s="106">
        <f>IF($B11="YES",'ECM Input'!H16,0)</f>
        <v>0</v>
      </c>
      <c r="J11" s="106">
        <f>IF($B11="YES",'ECM Input'!I16,0)</f>
        <v>0</v>
      </c>
      <c r="K11" s="106">
        <f>IF($B11="YES",'ECM Input'!J16,0)</f>
        <v>0</v>
      </c>
      <c r="L11" s="112">
        <f>F11*Summary!$J$12</f>
        <v>215909.09090909088</v>
      </c>
      <c r="M11" s="112">
        <f>G11*Summary!$J$12</f>
        <v>83823.529411764699</v>
      </c>
      <c r="N11" s="112">
        <f>H11*Summary!$J$12</f>
        <v>0</v>
      </c>
      <c r="O11" s="112">
        <f>I11*Summary!$J$12</f>
        <v>0</v>
      </c>
      <c r="P11" s="112">
        <f>J11*Summary!$J$12</f>
        <v>0</v>
      </c>
      <c r="Q11" s="112">
        <f>K11*Summary!$J$12</f>
        <v>0</v>
      </c>
      <c r="R11" s="113">
        <f t="shared" si="1"/>
        <v>1815000</v>
      </c>
      <c r="S11" s="113">
        <f t="shared" si="2"/>
        <v>22500</v>
      </c>
      <c r="T11" s="113">
        <f t="shared" si="3"/>
        <v>2250</v>
      </c>
      <c r="U11" s="106">
        <f t="shared" si="4"/>
        <v>84560.211229946523</v>
      </c>
      <c r="V11" s="114">
        <f t="shared" si="5"/>
        <v>23749.999999999996</v>
      </c>
      <c r="W11" s="114">
        <f t="shared" si="6"/>
        <v>71249.999999999985</v>
      </c>
      <c r="X11" s="114">
        <f t="shared" si="7"/>
        <v>0</v>
      </c>
      <c r="Y11" s="114">
        <f t="shared" si="8"/>
        <v>0</v>
      </c>
      <c r="Z11" s="114">
        <f t="shared" si="9"/>
        <v>94999.999999999985</v>
      </c>
      <c r="AA11" s="115">
        <f t="shared" si="10"/>
        <v>19.10526315789474</v>
      </c>
    </row>
    <row r="12" spans="2:27" x14ac:dyDescent="0.25">
      <c r="B12" s="106" t="str">
        <f>Summary!G13</f>
        <v>Yes</v>
      </c>
      <c r="C12" s="106">
        <f>'ECM Input'!B17</f>
        <v>10</v>
      </c>
      <c r="D12" s="106" t="str">
        <f>'ECM Input'!C17</f>
        <v>PV System</v>
      </c>
      <c r="E12" s="106">
        <f>IF($B12="YES",'ECM Input'!D17,0)</f>
        <v>9000000</v>
      </c>
      <c r="F12" s="106">
        <f>IF($B12="YES",'ECM Input'!E17,0)</f>
        <v>3409090.9090909092</v>
      </c>
      <c r="G12" s="106">
        <f>IF($B12="YES",'ECM Input'!F17,0)</f>
        <v>0</v>
      </c>
      <c r="H12" s="106">
        <f>IF($B12="YES",'ECM Input'!G17,0)</f>
        <v>0</v>
      </c>
      <c r="I12" s="106">
        <f>IF($B12="YES",'ECM Input'!H17,0)</f>
        <v>0</v>
      </c>
      <c r="J12" s="106">
        <f>IF($B12="YES",'ECM Input'!I17,0)</f>
        <v>0</v>
      </c>
      <c r="K12" s="106">
        <f>IF($B12="YES",'ECM Input'!J17,0)</f>
        <v>0</v>
      </c>
      <c r="L12" s="112">
        <f>F12*Summary!$J$12</f>
        <v>3238636.3636363638</v>
      </c>
      <c r="M12" s="112">
        <f>G12*Summary!$J$12</f>
        <v>0</v>
      </c>
      <c r="N12" s="112">
        <f>H12*Summary!$J$12</f>
        <v>0</v>
      </c>
      <c r="O12" s="112">
        <f>I12*Summary!$J$12</f>
        <v>0</v>
      </c>
      <c r="P12" s="112">
        <f>J12*Summary!$J$12</f>
        <v>0</v>
      </c>
      <c r="Q12" s="112">
        <f>K12*Summary!$J$12</f>
        <v>0</v>
      </c>
      <c r="R12" s="113">
        <f t="shared" si="1"/>
        <v>10890000</v>
      </c>
      <c r="S12" s="113">
        <f t="shared" si="2"/>
        <v>135000</v>
      </c>
      <c r="T12" s="113">
        <f t="shared" si="3"/>
        <v>13500</v>
      </c>
      <c r="U12" s="106">
        <f t="shared" si="4"/>
        <v>11050.227272727274</v>
      </c>
      <c r="V12" s="114">
        <f t="shared" si="5"/>
        <v>356250</v>
      </c>
      <c r="W12" s="114">
        <f t="shared" si="6"/>
        <v>0</v>
      </c>
      <c r="X12" s="114">
        <f t="shared" si="7"/>
        <v>0</v>
      </c>
      <c r="Y12" s="114">
        <f t="shared" si="8"/>
        <v>0</v>
      </c>
      <c r="Z12" s="114">
        <f t="shared" si="9"/>
        <v>356250</v>
      </c>
      <c r="AA12" s="115">
        <f t="shared" si="10"/>
        <v>30.568421052631578</v>
      </c>
    </row>
    <row r="13" spans="2:27" x14ac:dyDescent="0.25">
      <c r="B13" s="106" t="str">
        <f>Summary!G14</f>
        <v>No</v>
      </c>
      <c r="C13" s="106">
        <f>'ECM Input'!B18</f>
        <v>0</v>
      </c>
      <c r="D13" s="106">
        <f>'ECM Input'!C18</f>
        <v>0</v>
      </c>
      <c r="E13" s="106">
        <f>IF($B13="YES",'ECM Input'!D18,0)</f>
        <v>0</v>
      </c>
      <c r="F13" s="106">
        <f>IF($B13="YES",'ECM Input'!E18,0)</f>
        <v>0</v>
      </c>
      <c r="G13" s="106">
        <f>IF($B13="YES",'ECM Input'!F18,0)</f>
        <v>0</v>
      </c>
      <c r="H13" s="106">
        <f>IF($B13="YES",'ECM Input'!G18,0)</f>
        <v>0</v>
      </c>
      <c r="I13" s="106">
        <f>IF($B13="YES",'ECM Input'!H18,0)</f>
        <v>0</v>
      </c>
      <c r="J13" s="106">
        <f>IF($B13="YES",'ECM Input'!I18,0)</f>
        <v>0</v>
      </c>
      <c r="K13" s="106">
        <f>IF($B13="YES",'ECM Input'!J18,0)</f>
        <v>0</v>
      </c>
      <c r="L13" s="112">
        <f>F13*Summary!$J$12</f>
        <v>0</v>
      </c>
      <c r="M13" s="112">
        <f>G13*Summary!$J$12</f>
        <v>0</v>
      </c>
      <c r="N13" s="112">
        <f>H13*Summary!$J$12</f>
        <v>0</v>
      </c>
      <c r="O13" s="112">
        <f>I13*Summary!$J$12</f>
        <v>0</v>
      </c>
      <c r="P13" s="112">
        <f>J13*Summary!$J$12</f>
        <v>0</v>
      </c>
      <c r="Q13" s="112">
        <f>K13*Summary!$J$12</f>
        <v>0</v>
      </c>
      <c r="R13" s="113">
        <f t="shared" si="1"/>
        <v>0</v>
      </c>
      <c r="S13" s="113">
        <f t="shared" si="2"/>
        <v>0</v>
      </c>
      <c r="T13" s="113">
        <f t="shared" si="3"/>
        <v>0</v>
      </c>
      <c r="U13" s="106">
        <f t="shared" si="4"/>
        <v>0</v>
      </c>
      <c r="V13" s="114">
        <f t="shared" si="5"/>
        <v>0</v>
      </c>
      <c r="W13" s="114">
        <f t="shared" si="6"/>
        <v>0</v>
      </c>
      <c r="X13" s="114">
        <f t="shared" si="7"/>
        <v>0</v>
      </c>
      <c r="Y13" s="114">
        <f t="shared" si="8"/>
        <v>0</v>
      </c>
      <c r="Z13" s="114">
        <f t="shared" si="9"/>
        <v>0</v>
      </c>
      <c r="AA13" s="115" t="str">
        <f t="shared" si="10"/>
        <v/>
      </c>
    </row>
    <row r="14" spans="2:27" x14ac:dyDescent="0.25">
      <c r="B14" s="106" t="str">
        <f>Summary!G15</f>
        <v>No</v>
      </c>
      <c r="C14" s="106">
        <f>'ECM Input'!B19</f>
        <v>0</v>
      </c>
      <c r="D14" s="106">
        <f>'ECM Input'!C19</f>
        <v>0</v>
      </c>
      <c r="E14" s="106">
        <f>IF($B14="YES",'ECM Input'!D19,0)</f>
        <v>0</v>
      </c>
      <c r="F14" s="106">
        <f>IF($B14="YES",'ECM Input'!E19,0)</f>
        <v>0</v>
      </c>
      <c r="G14" s="106">
        <f>IF($B14="YES",'ECM Input'!F19,0)</f>
        <v>0</v>
      </c>
      <c r="H14" s="106">
        <f>IF($B14="YES",'ECM Input'!G19,0)</f>
        <v>0</v>
      </c>
      <c r="I14" s="106">
        <f>IF($B14="YES",'ECM Input'!H19,0)</f>
        <v>0</v>
      </c>
      <c r="J14" s="106">
        <f>IF($B14="YES",'ECM Input'!I19,0)</f>
        <v>0</v>
      </c>
      <c r="K14" s="106">
        <f>IF($B14="YES",'ECM Input'!J19,0)</f>
        <v>0</v>
      </c>
      <c r="L14" s="112">
        <f>F14*Summary!$J$12</f>
        <v>0</v>
      </c>
      <c r="M14" s="112">
        <f>G14*Summary!$J$12</f>
        <v>0</v>
      </c>
      <c r="N14" s="112">
        <f>H14*Summary!$J$12</f>
        <v>0</v>
      </c>
      <c r="O14" s="112">
        <f>I14*Summary!$J$12</f>
        <v>0</v>
      </c>
      <c r="P14" s="112">
        <f>J14*Summary!$J$12</f>
        <v>0</v>
      </c>
      <c r="Q14" s="112">
        <f>K14*Summary!$J$12</f>
        <v>0</v>
      </c>
      <c r="R14" s="113">
        <f t="shared" si="1"/>
        <v>0</v>
      </c>
      <c r="S14" s="113">
        <f t="shared" si="2"/>
        <v>0</v>
      </c>
      <c r="T14" s="113">
        <f t="shared" si="3"/>
        <v>0</v>
      </c>
      <c r="U14" s="106">
        <f t="shared" si="4"/>
        <v>0</v>
      </c>
      <c r="V14" s="114">
        <f t="shared" si="5"/>
        <v>0</v>
      </c>
      <c r="W14" s="114">
        <f t="shared" si="6"/>
        <v>0</v>
      </c>
      <c r="X14" s="114">
        <f t="shared" si="7"/>
        <v>0</v>
      </c>
      <c r="Y14" s="114">
        <f t="shared" si="8"/>
        <v>0</v>
      </c>
      <c r="Z14" s="114">
        <f t="shared" si="9"/>
        <v>0</v>
      </c>
      <c r="AA14" s="115" t="str">
        <f t="shared" si="10"/>
        <v/>
      </c>
    </row>
    <row r="15" spans="2:27" x14ac:dyDescent="0.25">
      <c r="B15" s="106" t="str">
        <f>Summary!G16</f>
        <v>No</v>
      </c>
      <c r="C15" s="106">
        <f>'ECM Input'!B20</f>
        <v>0</v>
      </c>
      <c r="D15" s="106">
        <f>'ECM Input'!C20</f>
        <v>0</v>
      </c>
      <c r="E15" s="106">
        <f>IF($B15="YES",'ECM Input'!D20,0)</f>
        <v>0</v>
      </c>
      <c r="F15" s="106">
        <f>IF($B15="YES",'ECM Input'!E20,0)</f>
        <v>0</v>
      </c>
      <c r="G15" s="106">
        <f>IF($B15="YES",'ECM Input'!F20,0)</f>
        <v>0</v>
      </c>
      <c r="H15" s="106">
        <f>IF($B15="YES",'ECM Input'!G20,0)</f>
        <v>0</v>
      </c>
      <c r="I15" s="106">
        <f>IF($B15="YES",'ECM Input'!H20,0)</f>
        <v>0</v>
      </c>
      <c r="J15" s="106">
        <f>IF($B15="YES",'ECM Input'!I20,0)</f>
        <v>0</v>
      </c>
      <c r="K15" s="106">
        <f>IF($B15="YES",'ECM Input'!J20,0)</f>
        <v>0</v>
      </c>
      <c r="L15" s="112">
        <f>F15*Summary!$J$12</f>
        <v>0</v>
      </c>
      <c r="M15" s="112">
        <f>G15*Summary!$J$12</f>
        <v>0</v>
      </c>
      <c r="N15" s="112">
        <f>H15*Summary!$J$12</f>
        <v>0</v>
      </c>
      <c r="O15" s="112">
        <f>I15*Summary!$J$12</f>
        <v>0</v>
      </c>
      <c r="P15" s="112">
        <f>J15*Summary!$J$12</f>
        <v>0</v>
      </c>
      <c r="Q15" s="112">
        <f>K15*Summary!$J$12</f>
        <v>0</v>
      </c>
      <c r="R15" s="113">
        <f t="shared" si="1"/>
        <v>0</v>
      </c>
      <c r="S15" s="113">
        <f t="shared" si="2"/>
        <v>0</v>
      </c>
      <c r="T15" s="113">
        <f t="shared" si="3"/>
        <v>0</v>
      </c>
      <c r="U15" s="106">
        <f t="shared" si="4"/>
        <v>0</v>
      </c>
      <c r="V15" s="114">
        <f t="shared" si="5"/>
        <v>0</v>
      </c>
      <c r="W15" s="114">
        <f t="shared" si="6"/>
        <v>0</v>
      </c>
      <c r="X15" s="114">
        <f t="shared" si="7"/>
        <v>0</v>
      </c>
      <c r="Y15" s="114">
        <f t="shared" si="8"/>
        <v>0</v>
      </c>
      <c r="Z15" s="114">
        <f t="shared" si="9"/>
        <v>0</v>
      </c>
      <c r="AA15" s="115" t="str">
        <f t="shared" si="10"/>
        <v/>
      </c>
    </row>
    <row r="16" spans="2:27" x14ac:dyDescent="0.25">
      <c r="B16" s="106" t="str">
        <f>Summary!G17</f>
        <v>No</v>
      </c>
      <c r="C16" s="106">
        <f>'ECM Input'!B21</f>
        <v>0</v>
      </c>
      <c r="D16" s="106">
        <f>'ECM Input'!C21</f>
        <v>0</v>
      </c>
      <c r="E16" s="106">
        <f>IF($B16="YES",'ECM Input'!D21,0)</f>
        <v>0</v>
      </c>
      <c r="F16" s="106">
        <f>IF($B16="YES",'ECM Input'!E21,0)</f>
        <v>0</v>
      </c>
      <c r="G16" s="106">
        <f>IF($B16="YES",'ECM Input'!F21,0)</f>
        <v>0</v>
      </c>
      <c r="H16" s="106">
        <f>IF($B16="YES",'ECM Input'!G21,0)</f>
        <v>0</v>
      </c>
      <c r="I16" s="106">
        <f>IF($B16="YES",'ECM Input'!H21,0)</f>
        <v>0</v>
      </c>
      <c r="J16" s="106">
        <f>IF($B16="YES",'ECM Input'!I21,0)</f>
        <v>0</v>
      </c>
      <c r="K16" s="106">
        <f>IF($B16="YES",'ECM Input'!J21,0)</f>
        <v>0</v>
      </c>
      <c r="L16" s="112">
        <f>F16*Summary!$J$12</f>
        <v>0</v>
      </c>
      <c r="M16" s="112">
        <f>G16*Summary!$J$12</f>
        <v>0</v>
      </c>
      <c r="N16" s="112">
        <f>H16*Summary!$J$12</f>
        <v>0</v>
      </c>
      <c r="O16" s="112">
        <f>I16*Summary!$J$12</f>
        <v>0</v>
      </c>
      <c r="P16" s="112">
        <f>J16*Summary!$J$12</f>
        <v>0</v>
      </c>
      <c r="Q16" s="112">
        <f>K16*Summary!$J$12</f>
        <v>0</v>
      </c>
      <c r="R16" s="113">
        <f t="shared" si="1"/>
        <v>0</v>
      </c>
      <c r="S16" s="113">
        <f t="shared" si="2"/>
        <v>0</v>
      </c>
      <c r="T16" s="113">
        <f t="shared" si="3"/>
        <v>0</v>
      </c>
      <c r="U16" s="106">
        <f t="shared" si="4"/>
        <v>0</v>
      </c>
      <c r="V16" s="114">
        <f t="shared" si="5"/>
        <v>0</v>
      </c>
      <c r="W16" s="114">
        <f t="shared" si="6"/>
        <v>0</v>
      </c>
      <c r="X16" s="114">
        <f t="shared" si="7"/>
        <v>0</v>
      </c>
      <c r="Y16" s="114">
        <f t="shared" si="8"/>
        <v>0</v>
      </c>
      <c r="Z16" s="114">
        <f t="shared" si="9"/>
        <v>0</v>
      </c>
      <c r="AA16" s="115" t="str">
        <f t="shared" si="10"/>
        <v/>
      </c>
    </row>
    <row r="17" spans="2:27" x14ac:dyDescent="0.25">
      <c r="B17" s="106" t="str">
        <f>Summary!G18</f>
        <v>No</v>
      </c>
      <c r="C17" s="106">
        <f>'ECM Input'!B22</f>
        <v>0</v>
      </c>
      <c r="D17" s="106">
        <f>'ECM Input'!C22</f>
        <v>0</v>
      </c>
      <c r="E17" s="106">
        <f>IF($B17="YES",'ECM Input'!D22,0)</f>
        <v>0</v>
      </c>
      <c r="F17" s="106">
        <f>IF($B17="YES",'ECM Input'!E22,0)</f>
        <v>0</v>
      </c>
      <c r="G17" s="106">
        <f>IF($B17="YES",'ECM Input'!F22,0)</f>
        <v>0</v>
      </c>
      <c r="H17" s="106">
        <f>IF($B17="YES",'ECM Input'!G22,0)</f>
        <v>0</v>
      </c>
      <c r="I17" s="106">
        <f>IF($B17="YES",'ECM Input'!H22,0)</f>
        <v>0</v>
      </c>
      <c r="J17" s="106">
        <f>IF($B17="YES",'ECM Input'!I22,0)</f>
        <v>0</v>
      </c>
      <c r="K17" s="106">
        <f>IF($B17="YES",'ECM Input'!J22,0)</f>
        <v>0</v>
      </c>
      <c r="L17" s="112">
        <f>F17*Summary!$J$12</f>
        <v>0</v>
      </c>
      <c r="M17" s="112">
        <f>G17*Summary!$J$12</f>
        <v>0</v>
      </c>
      <c r="N17" s="112">
        <f>H17*Summary!$J$12</f>
        <v>0</v>
      </c>
      <c r="O17" s="112">
        <f>I17*Summary!$J$12</f>
        <v>0</v>
      </c>
      <c r="P17" s="112">
        <f>J17*Summary!$J$12</f>
        <v>0</v>
      </c>
      <c r="Q17" s="112">
        <f>K17*Summary!$J$12</f>
        <v>0</v>
      </c>
      <c r="R17" s="113">
        <f t="shared" si="1"/>
        <v>0</v>
      </c>
      <c r="S17" s="113">
        <f t="shared" si="2"/>
        <v>0</v>
      </c>
      <c r="T17" s="113">
        <f t="shared" si="3"/>
        <v>0</v>
      </c>
      <c r="U17" s="106">
        <f t="shared" si="4"/>
        <v>0</v>
      </c>
      <c r="V17" s="114">
        <f t="shared" si="5"/>
        <v>0</v>
      </c>
      <c r="W17" s="114">
        <f t="shared" si="6"/>
        <v>0</v>
      </c>
      <c r="X17" s="114">
        <f t="shared" si="7"/>
        <v>0</v>
      </c>
      <c r="Y17" s="114">
        <f t="shared" si="8"/>
        <v>0</v>
      </c>
      <c r="Z17" s="114">
        <f t="shared" si="9"/>
        <v>0</v>
      </c>
      <c r="AA17" s="115" t="str">
        <f t="shared" si="10"/>
        <v/>
      </c>
    </row>
    <row r="18" spans="2:27" x14ac:dyDescent="0.25">
      <c r="B18" s="106" t="str">
        <f>Summary!G19</f>
        <v>No</v>
      </c>
      <c r="C18" s="106">
        <f>'ECM Input'!B23</f>
        <v>0</v>
      </c>
      <c r="D18" s="106">
        <f>'ECM Input'!C23</f>
        <v>0</v>
      </c>
      <c r="E18" s="106">
        <f>IF($B18="YES",'ECM Input'!D23,0)</f>
        <v>0</v>
      </c>
      <c r="F18" s="106">
        <f>IF($B18="YES",'ECM Input'!E23,0)</f>
        <v>0</v>
      </c>
      <c r="G18" s="106">
        <f>IF($B18="YES",'ECM Input'!F23,0)</f>
        <v>0</v>
      </c>
      <c r="H18" s="106">
        <f>IF($B18="YES",'ECM Input'!G23,0)</f>
        <v>0</v>
      </c>
      <c r="I18" s="106">
        <f>IF($B18="YES",'ECM Input'!H23,0)</f>
        <v>0</v>
      </c>
      <c r="J18" s="106">
        <f>IF($B18="YES",'ECM Input'!I23,0)</f>
        <v>0</v>
      </c>
      <c r="K18" s="106">
        <f>IF($B18="YES",'ECM Input'!J23,0)</f>
        <v>0</v>
      </c>
      <c r="L18" s="112">
        <f>F18*Summary!$J$12</f>
        <v>0</v>
      </c>
      <c r="M18" s="112">
        <f>G18*Summary!$J$12</f>
        <v>0</v>
      </c>
      <c r="N18" s="112">
        <f>H18*Summary!$J$12</f>
        <v>0</v>
      </c>
      <c r="O18" s="112">
        <f>I18*Summary!$J$12</f>
        <v>0</v>
      </c>
      <c r="P18" s="112">
        <f>J18*Summary!$J$12</f>
        <v>0</v>
      </c>
      <c r="Q18" s="112">
        <f>K18*Summary!$J$12</f>
        <v>0</v>
      </c>
      <c r="R18" s="113">
        <f t="shared" si="1"/>
        <v>0</v>
      </c>
      <c r="S18" s="113">
        <f t="shared" si="2"/>
        <v>0</v>
      </c>
      <c r="T18" s="113">
        <f t="shared" si="3"/>
        <v>0</v>
      </c>
      <c r="U18" s="106">
        <f t="shared" si="4"/>
        <v>0</v>
      </c>
      <c r="V18" s="114">
        <f t="shared" si="5"/>
        <v>0</v>
      </c>
      <c r="W18" s="114">
        <f t="shared" si="6"/>
        <v>0</v>
      </c>
      <c r="X18" s="114">
        <f t="shared" si="7"/>
        <v>0</v>
      </c>
      <c r="Y18" s="114">
        <f t="shared" si="8"/>
        <v>0</v>
      </c>
      <c r="Z18" s="114">
        <f t="shared" si="9"/>
        <v>0</v>
      </c>
      <c r="AA18" s="115" t="str">
        <f t="shared" si="10"/>
        <v/>
      </c>
    </row>
    <row r="19" spans="2:27" x14ac:dyDescent="0.25">
      <c r="B19" s="106" t="str">
        <f>Summary!G20</f>
        <v>No</v>
      </c>
      <c r="C19" s="106">
        <f>'ECM Input'!B24</f>
        <v>0</v>
      </c>
      <c r="D19" s="106">
        <f>'ECM Input'!C24</f>
        <v>0</v>
      </c>
      <c r="E19" s="106">
        <f>IF($B19="YES",'ECM Input'!D24,0)</f>
        <v>0</v>
      </c>
      <c r="F19" s="106">
        <f>IF($B19="YES",'ECM Input'!E24,0)</f>
        <v>0</v>
      </c>
      <c r="G19" s="106">
        <f>IF($B19="YES",'ECM Input'!F24,0)</f>
        <v>0</v>
      </c>
      <c r="H19" s="106">
        <f>IF($B19="YES",'ECM Input'!G24,0)</f>
        <v>0</v>
      </c>
      <c r="I19" s="106">
        <f>IF($B19="YES",'ECM Input'!H24,0)</f>
        <v>0</v>
      </c>
      <c r="J19" s="106">
        <f>IF($B19="YES",'ECM Input'!I24,0)</f>
        <v>0</v>
      </c>
      <c r="K19" s="106">
        <f>IF($B19="YES",'ECM Input'!J24,0)</f>
        <v>0</v>
      </c>
      <c r="L19" s="112">
        <f>F19*Summary!$J$12</f>
        <v>0</v>
      </c>
      <c r="M19" s="112">
        <f>G19*Summary!$J$12</f>
        <v>0</v>
      </c>
      <c r="N19" s="112">
        <f>H19*Summary!$J$12</f>
        <v>0</v>
      </c>
      <c r="O19" s="112">
        <f>I19*Summary!$J$12</f>
        <v>0</v>
      </c>
      <c r="P19" s="112">
        <f>J19*Summary!$J$12</f>
        <v>0</v>
      </c>
      <c r="Q19" s="112">
        <f>K19*Summary!$J$12</f>
        <v>0</v>
      </c>
      <c r="R19" s="113">
        <f t="shared" si="1"/>
        <v>0</v>
      </c>
      <c r="S19" s="113">
        <f t="shared" si="2"/>
        <v>0</v>
      </c>
      <c r="T19" s="113">
        <f t="shared" si="3"/>
        <v>0</v>
      </c>
      <c r="U19" s="106">
        <f t="shared" si="4"/>
        <v>0</v>
      </c>
      <c r="V19" s="114">
        <f t="shared" si="5"/>
        <v>0</v>
      </c>
      <c r="W19" s="114">
        <f t="shared" si="6"/>
        <v>0</v>
      </c>
      <c r="X19" s="114">
        <f t="shared" si="7"/>
        <v>0</v>
      </c>
      <c r="Y19" s="114">
        <f t="shared" si="8"/>
        <v>0</v>
      </c>
      <c r="Z19" s="114">
        <f t="shared" si="9"/>
        <v>0</v>
      </c>
      <c r="AA19" s="115" t="str">
        <f t="shared" si="10"/>
        <v/>
      </c>
    </row>
    <row r="20" spans="2:27" x14ac:dyDescent="0.25">
      <c r="B20" s="106" t="str">
        <f>Summary!G21</f>
        <v>No</v>
      </c>
      <c r="C20" s="106">
        <f>'ECM Input'!B25</f>
        <v>0</v>
      </c>
      <c r="D20" s="106">
        <f>'ECM Input'!C25</f>
        <v>0</v>
      </c>
      <c r="E20" s="106">
        <f>IF($B20="YES",'ECM Input'!D25,0)</f>
        <v>0</v>
      </c>
      <c r="F20" s="106">
        <f>IF($B20="YES",'ECM Input'!E25,0)</f>
        <v>0</v>
      </c>
      <c r="G20" s="106">
        <f>IF($B20="YES",'ECM Input'!F25,0)</f>
        <v>0</v>
      </c>
      <c r="H20" s="106">
        <f>IF($B20="YES",'ECM Input'!G25,0)</f>
        <v>0</v>
      </c>
      <c r="I20" s="106">
        <f>IF($B20="YES",'ECM Input'!H25,0)</f>
        <v>0</v>
      </c>
      <c r="J20" s="106">
        <f>IF($B20="YES",'ECM Input'!I25,0)</f>
        <v>0</v>
      </c>
      <c r="K20" s="106">
        <f>IF($B20="YES",'ECM Input'!J25,0)</f>
        <v>0</v>
      </c>
      <c r="L20" s="112">
        <f>F20*Summary!$J$12</f>
        <v>0</v>
      </c>
      <c r="M20" s="112">
        <f>G20*Summary!$J$12</f>
        <v>0</v>
      </c>
      <c r="N20" s="112">
        <f>H20*Summary!$J$12</f>
        <v>0</v>
      </c>
      <c r="O20" s="112">
        <f>I20*Summary!$J$12</f>
        <v>0</v>
      </c>
      <c r="P20" s="112">
        <f>J20*Summary!$J$12</f>
        <v>0</v>
      </c>
      <c r="Q20" s="112">
        <f>K20*Summary!$J$12</f>
        <v>0</v>
      </c>
      <c r="R20" s="113">
        <f t="shared" si="1"/>
        <v>0</v>
      </c>
      <c r="S20" s="113">
        <f t="shared" si="2"/>
        <v>0</v>
      </c>
      <c r="T20" s="113">
        <f t="shared" si="3"/>
        <v>0</v>
      </c>
      <c r="U20" s="106">
        <f t="shared" si="4"/>
        <v>0</v>
      </c>
      <c r="V20" s="114">
        <f t="shared" si="5"/>
        <v>0</v>
      </c>
      <c r="W20" s="114">
        <f t="shared" si="6"/>
        <v>0</v>
      </c>
      <c r="X20" s="114">
        <f t="shared" si="7"/>
        <v>0</v>
      </c>
      <c r="Y20" s="114">
        <f t="shared" si="8"/>
        <v>0</v>
      </c>
      <c r="Z20" s="114">
        <f t="shared" si="9"/>
        <v>0</v>
      </c>
      <c r="AA20" s="115" t="str">
        <f t="shared" si="10"/>
        <v/>
      </c>
    </row>
    <row r="21" spans="2:27" x14ac:dyDescent="0.25">
      <c r="B21" s="106" t="str">
        <f>Summary!G22</f>
        <v>No</v>
      </c>
      <c r="C21" s="106">
        <f>'ECM Input'!B26</f>
        <v>0</v>
      </c>
      <c r="D21" s="106">
        <f>'ECM Input'!C26</f>
        <v>0</v>
      </c>
      <c r="E21" s="106">
        <f>IF($B21="YES",'ECM Input'!D26,0)</f>
        <v>0</v>
      </c>
      <c r="F21" s="106">
        <f>IF($B21="YES",'ECM Input'!E26,0)</f>
        <v>0</v>
      </c>
      <c r="G21" s="106">
        <f>IF($B21="YES",'ECM Input'!F26,0)</f>
        <v>0</v>
      </c>
      <c r="H21" s="106">
        <f>IF($B21="YES",'ECM Input'!G26,0)</f>
        <v>0</v>
      </c>
      <c r="I21" s="106">
        <f>IF($B21="YES",'ECM Input'!H26,0)</f>
        <v>0</v>
      </c>
      <c r="J21" s="106">
        <f>IF($B21="YES",'ECM Input'!I26,0)</f>
        <v>0</v>
      </c>
      <c r="K21" s="106">
        <f>IF($B21="YES",'ECM Input'!J26,0)</f>
        <v>0</v>
      </c>
      <c r="L21" s="112">
        <f>F21*Summary!$J$12</f>
        <v>0</v>
      </c>
      <c r="M21" s="112">
        <f>G21*Summary!$J$12</f>
        <v>0</v>
      </c>
      <c r="N21" s="112">
        <f>H21*Summary!$J$12</f>
        <v>0</v>
      </c>
      <c r="O21" s="112">
        <f>I21*Summary!$J$12</f>
        <v>0</v>
      </c>
      <c r="P21" s="112">
        <f>J21*Summary!$J$12</f>
        <v>0</v>
      </c>
      <c r="Q21" s="112">
        <f>K21*Summary!$J$12</f>
        <v>0</v>
      </c>
      <c r="R21" s="113">
        <f t="shared" si="1"/>
        <v>0</v>
      </c>
      <c r="S21" s="113">
        <f t="shared" si="2"/>
        <v>0</v>
      </c>
      <c r="T21" s="113">
        <f t="shared" si="3"/>
        <v>0</v>
      </c>
      <c r="U21" s="106">
        <f t="shared" si="4"/>
        <v>0</v>
      </c>
      <c r="V21" s="114">
        <f t="shared" si="5"/>
        <v>0</v>
      </c>
      <c r="W21" s="114">
        <f t="shared" si="6"/>
        <v>0</v>
      </c>
      <c r="X21" s="114">
        <f t="shared" si="7"/>
        <v>0</v>
      </c>
      <c r="Y21" s="114">
        <f t="shared" si="8"/>
        <v>0</v>
      </c>
      <c r="Z21" s="114">
        <f t="shared" si="9"/>
        <v>0</v>
      </c>
      <c r="AA21" s="115" t="str">
        <f t="shared" si="10"/>
        <v/>
      </c>
    </row>
    <row r="22" spans="2:27" x14ac:dyDescent="0.25">
      <c r="B22" s="106" t="str">
        <f>Summary!G23</f>
        <v>No</v>
      </c>
      <c r="C22" s="106">
        <f>'ECM Input'!B27</f>
        <v>0</v>
      </c>
      <c r="D22" s="106">
        <f>'ECM Input'!C27</f>
        <v>0</v>
      </c>
      <c r="E22" s="106">
        <f>IF($B22="YES",'ECM Input'!D27,0)</f>
        <v>0</v>
      </c>
      <c r="F22" s="106">
        <f>IF($B22="YES",'ECM Input'!E27,0)</f>
        <v>0</v>
      </c>
      <c r="G22" s="106">
        <f>IF($B22="YES",'ECM Input'!F27,0)</f>
        <v>0</v>
      </c>
      <c r="H22" s="106">
        <f>IF($B22="YES",'ECM Input'!G27,0)</f>
        <v>0</v>
      </c>
      <c r="I22" s="106">
        <f>IF($B22="YES",'ECM Input'!H27,0)</f>
        <v>0</v>
      </c>
      <c r="J22" s="106">
        <f>IF($B22="YES",'ECM Input'!I27,0)</f>
        <v>0</v>
      </c>
      <c r="K22" s="106">
        <f>IF($B22="YES",'ECM Input'!J27,0)</f>
        <v>0</v>
      </c>
      <c r="L22" s="112">
        <f>F22*Summary!$J$12</f>
        <v>0</v>
      </c>
      <c r="M22" s="112">
        <f>G22*Summary!$J$12</f>
        <v>0</v>
      </c>
      <c r="N22" s="112">
        <f>H22*Summary!$J$12</f>
        <v>0</v>
      </c>
      <c r="O22" s="112">
        <f>I22*Summary!$J$12</f>
        <v>0</v>
      </c>
      <c r="P22" s="112">
        <f>J22*Summary!$J$12</f>
        <v>0</v>
      </c>
      <c r="Q22" s="112">
        <f>K22*Summary!$J$12</f>
        <v>0</v>
      </c>
      <c r="R22" s="113">
        <f t="shared" si="1"/>
        <v>0</v>
      </c>
      <c r="S22" s="113">
        <f t="shared" si="2"/>
        <v>0</v>
      </c>
      <c r="T22" s="113">
        <f t="shared" si="3"/>
        <v>0</v>
      </c>
      <c r="U22" s="106">
        <f t="shared" si="4"/>
        <v>0</v>
      </c>
      <c r="V22" s="114">
        <f t="shared" si="5"/>
        <v>0</v>
      </c>
      <c r="W22" s="114">
        <f t="shared" si="6"/>
        <v>0</v>
      </c>
      <c r="X22" s="114">
        <f t="shared" si="7"/>
        <v>0</v>
      </c>
      <c r="Y22" s="114">
        <f t="shared" si="8"/>
        <v>0</v>
      </c>
      <c r="Z22" s="114">
        <f t="shared" si="9"/>
        <v>0</v>
      </c>
      <c r="AA22" s="115" t="str">
        <f t="shared" si="10"/>
        <v/>
      </c>
    </row>
    <row r="23" spans="2:27" x14ac:dyDescent="0.25">
      <c r="B23" s="106" t="str">
        <f>Summary!G24</f>
        <v>No</v>
      </c>
      <c r="C23" s="106">
        <f>'ECM Input'!B28</f>
        <v>0</v>
      </c>
      <c r="D23" s="106">
        <f>'ECM Input'!C28</f>
        <v>0</v>
      </c>
      <c r="E23" s="106">
        <f>IF($B23="YES",'ECM Input'!D28,0)</f>
        <v>0</v>
      </c>
      <c r="F23" s="106">
        <f>IF($B23="YES",'ECM Input'!E28,0)</f>
        <v>0</v>
      </c>
      <c r="G23" s="106">
        <f>IF($B23="YES",'ECM Input'!F28,0)</f>
        <v>0</v>
      </c>
      <c r="H23" s="106">
        <f>IF($B23="YES",'ECM Input'!G28,0)</f>
        <v>0</v>
      </c>
      <c r="I23" s="106">
        <f>IF($B23="YES",'ECM Input'!H28,0)</f>
        <v>0</v>
      </c>
      <c r="J23" s="106">
        <f>IF($B23="YES",'ECM Input'!I28,0)</f>
        <v>0</v>
      </c>
      <c r="K23" s="106">
        <f>IF($B23="YES",'ECM Input'!J28,0)</f>
        <v>0</v>
      </c>
      <c r="L23" s="112">
        <f>F23*Summary!$J$12</f>
        <v>0</v>
      </c>
      <c r="M23" s="112">
        <f>G23*Summary!$J$12</f>
        <v>0</v>
      </c>
      <c r="N23" s="112">
        <f>H23*Summary!$J$12</f>
        <v>0</v>
      </c>
      <c r="O23" s="112">
        <f>I23*Summary!$J$12</f>
        <v>0</v>
      </c>
      <c r="P23" s="112">
        <f>J23*Summary!$J$12</f>
        <v>0</v>
      </c>
      <c r="Q23" s="112">
        <f>K23*Summary!$J$12</f>
        <v>0</v>
      </c>
      <c r="R23" s="113">
        <f t="shared" si="1"/>
        <v>0</v>
      </c>
      <c r="S23" s="113">
        <f t="shared" si="2"/>
        <v>0</v>
      </c>
      <c r="T23" s="113">
        <f t="shared" si="3"/>
        <v>0</v>
      </c>
      <c r="U23" s="106">
        <f t="shared" si="4"/>
        <v>0</v>
      </c>
      <c r="V23" s="114">
        <f t="shared" si="5"/>
        <v>0</v>
      </c>
      <c r="W23" s="114">
        <f t="shared" si="6"/>
        <v>0</v>
      </c>
      <c r="X23" s="114">
        <f t="shared" si="7"/>
        <v>0</v>
      </c>
      <c r="Y23" s="114">
        <f t="shared" si="8"/>
        <v>0</v>
      </c>
      <c r="Z23" s="114">
        <f t="shared" si="9"/>
        <v>0</v>
      </c>
      <c r="AA23" s="115" t="str">
        <f t="shared" si="10"/>
        <v/>
      </c>
    </row>
    <row r="24" spans="2:27" x14ac:dyDescent="0.25">
      <c r="B24" s="106" t="str">
        <f>Summary!G25</f>
        <v>No</v>
      </c>
      <c r="C24" s="106">
        <f>'ECM Input'!B29</f>
        <v>0</v>
      </c>
      <c r="D24" s="106">
        <f>'ECM Input'!C29</f>
        <v>0</v>
      </c>
      <c r="E24" s="106">
        <f>IF($B24="YES",'ECM Input'!D29,0)</f>
        <v>0</v>
      </c>
      <c r="F24" s="106">
        <f>IF($B24="YES",'ECM Input'!E29,0)</f>
        <v>0</v>
      </c>
      <c r="G24" s="106">
        <f>IF($B24="YES",'ECM Input'!F29,0)</f>
        <v>0</v>
      </c>
      <c r="H24" s="106">
        <f>IF($B24="YES",'ECM Input'!G29,0)</f>
        <v>0</v>
      </c>
      <c r="I24" s="106">
        <f>IF($B24="YES",'ECM Input'!H29,0)</f>
        <v>0</v>
      </c>
      <c r="J24" s="106">
        <f>IF($B24="YES",'ECM Input'!I29,0)</f>
        <v>0</v>
      </c>
      <c r="K24" s="106">
        <f>IF($B24="YES",'ECM Input'!J29,0)</f>
        <v>0</v>
      </c>
      <c r="L24" s="112">
        <f>F24*Summary!$J$12</f>
        <v>0</v>
      </c>
      <c r="M24" s="112">
        <f>G24*Summary!$J$12</f>
        <v>0</v>
      </c>
      <c r="N24" s="112">
        <f>H24*Summary!$J$12</f>
        <v>0</v>
      </c>
      <c r="O24" s="112">
        <f>I24*Summary!$J$12</f>
        <v>0</v>
      </c>
      <c r="P24" s="112">
        <f>J24*Summary!$J$12</f>
        <v>0</v>
      </c>
      <c r="Q24" s="112">
        <f>K24*Summary!$J$12</f>
        <v>0</v>
      </c>
      <c r="R24" s="113">
        <f t="shared" si="1"/>
        <v>0</v>
      </c>
      <c r="S24" s="113">
        <f t="shared" si="2"/>
        <v>0</v>
      </c>
      <c r="T24" s="113">
        <f t="shared" si="3"/>
        <v>0</v>
      </c>
      <c r="U24" s="106">
        <f t="shared" si="4"/>
        <v>0</v>
      </c>
      <c r="V24" s="114">
        <f t="shared" si="5"/>
        <v>0</v>
      </c>
      <c r="W24" s="114">
        <f t="shared" si="6"/>
        <v>0</v>
      </c>
      <c r="X24" s="114">
        <f t="shared" si="7"/>
        <v>0</v>
      </c>
      <c r="Y24" s="114">
        <f t="shared" si="8"/>
        <v>0</v>
      </c>
      <c r="Z24" s="114">
        <f t="shared" si="9"/>
        <v>0</v>
      </c>
      <c r="AA24" s="115" t="str">
        <f t="shared" si="10"/>
        <v/>
      </c>
    </row>
    <row r="25" spans="2:27" x14ac:dyDescent="0.25">
      <c r="B25" s="106" t="str">
        <f>Summary!G26</f>
        <v>No</v>
      </c>
      <c r="C25" s="106">
        <f>'ECM Input'!B30</f>
        <v>0</v>
      </c>
      <c r="D25" s="106">
        <f>'ECM Input'!C30</f>
        <v>0</v>
      </c>
      <c r="E25" s="106">
        <f>IF($B25="YES",'ECM Input'!D30,0)</f>
        <v>0</v>
      </c>
      <c r="F25" s="106">
        <f>IF($B25="YES",'ECM Input'!E30,0)</f>
        <v>0</v>
      </c>
      <c r="G25" s="106">
        <f>IF($B25="YES",'ECM Input'!F30,0)</f>
        <v>0</v>
      </c>
      <c r="H25" s="106">
        <f>IF($B25="YES",'ECM Input'!G30,0)</f>
        <v>0</v>
      </c>
      <c r="I25" s="106">
        <f>IF($B25="YES",'ECM Input'!H30,0)</f>
        <v>0</v>
      </c>
      <c r="J25" s="106">
        <f>IF($B25="YES",'ECM Input'!I30,0)</f>
        <v>0</v>
      </c>
      <c r="K25" s="106">
        <f>IF($B25="YES",'ECM Input'!J30,0)</f>
        <v>0</v>
      </c>
      <c r="L25" s="112">
        <f>F25*Summary!$J$12</f>
        <v>0</v>
      </c>
      <c r="M25" s="112">
        <f>G25*Summary!$J$12</f>
        <v>0</v>
      </c>
      <c r="N25" s="112">
        <f>H25*Summary!$J$12</f>
        <v>0</v>
      </c>
      <c r="O25" s="112">
        <f>I25*Summary!$J$12</f>
        <v>0</v>
      </c>
      <c r="P25" s="112">
        <f>J25*Summary!$J$12</f>
        <v>0</v>
      </c>
      <c r="Q25" s="112">
        <f>K25*Summary!$J$12</f>
        <v>0</v>
      </c>
      <c r="R25" s="113">
        <f t="shared" si="1"/>
        <v>0</v>
      </c>
      <c r="S25" s="113">
        <f t="shared" si="2"/>
        <v>0</v>
      </c>
      <c r="T25" s="113">
        <f t="shared" si="3"/>
        <v>0</v>
      </c>
      <c r="U25" s="106">
        <f t="shared" si="4"/>
        <v>0</v>
      </c>
      <c r="V25" s="114">
        <f t="shared" si="5"/>
        <v>0</v>
      </c>
      <c r="W25" s="114">
        <f t="shared" si="6"/>
        <v>0</v>
      </c>
      <c r="X25" s="114">
        <f t="shared" si="7"/>
        <v>0</v>
      </c>
      <c r="Y25" s="114">
        <f t="shared" si="8"/>
        <v>0</v>
      </c>
      <c r="Z25" s="114">
        <f t="shared" si="9"/>
        <v>0</v>
      </c>
      <c r="AA25" s="115" t="str">
        <f t="shared" si="10"/>
        <v/>
      </c>
    </row>
    <row r="26" spans="2:27" x14ac:dyDescent="0.25">
      <c r="B26" s="106" t="str">
        <f>Summary!G27</f>
        <v>No</v>
      </c>
      <c r="C26" s="106">
        <f>'ECM Input'!B31</f>
        <v>0</v>
      </c>
      <c r="D26" s="106">
        <f>'ECM Input'!C31</f>
        <v>0</v>
      </c>
      <c r="E26" s="106">
        <f>IF($B26="YES",'ECM Input'!D31,0)</f>
        <v>0</v>
      </c>
      <c r="F26" s="106">
        <f>IF($B26="YES",'ECM Input'!E31,0)</f>
        <v>0</v>
      </c>
      <c r="G26" s="106">
        <f>IF($B26="YES",'ECM Input'!F31,0)</f>
        <v>0</v>
      </c>
      <c r="H26" s="106">
        <f>IF($B26="YES",'ECM Input'!G31,0)</f>
        <v>0</v>
      </c>
      <c r="I26" s="106">
        <f>IF($B26="YES",'ECM Input'!H31,0)</f>
        <v>0</v>
      </c>
      <c r="J26" s="106">
        <f>IF($B26="YES",'ECM Input'!I31,0)</f>
        <v>0</v>
      </c>
      <c r="K26" s="106">
        <f>IF($B26="YES",'ECM Input'!J31,0)</f>
        <v>0</v>
      </c>
      <c r="L26" s="112">
        <f>F26*Summary!$J$12</f>
        <v>0</v>
      </c>
      <c r="M26" s="112">
        <f>G26*Summary!$J$12</f>
        <v>0</v>
      </c>
      <c r="N26" s="112">
        <f>H26*Summary!$J$12</f>
        <v>0</v>
      </c>
      <c r="O26" s="112">
        <f>I26*Summary!$J$12</f>
        <v>0</v>
      </c>
      <c r="P26" s="112">
        <f>J26*Summary!$J$12</f>
        <v>0</v>
      </c>
      <c r="Q26" s="112">
        <f>K26*Summary!$J$12</f>
        <v>0</v>
      </c>
      <c r="R26" s="113">
        <f t="shared" si="1"/>
        <v>0</v>
      </c>
      <c r="S26" s="113">
        <f t="shared" si="2"/>
        <v>0</v>
      </c>
      <c r="T26" s="113">
        <f t="shared" si="3"/>
        <v>0</v>
      </c>
      <c r="U26" s="106">
        <f t="shared" si="4"/>
        <v>0</v>
      </c>
      <c r="V26" s="114">
        <f t="shared" si="5"/>
        <v>0</v>
      </c>
      <c r="W26" s="114">
        <f t="shared" si="6"/>
        <v>0</v>
      </c>
      <c r="X26" s="114">
        <f t="shared" si="7"/>
        <v>0</v>
      </c>
      <c r="Y26" s="114">
        <f t="shared" si="8"/>
        <v>0</v>
      </c>
      <c r="Z26" s="114">
        <f t="shared" si="9"/>
        <v>0</v>
      </c>
      <c r="AA26" s="115" t="str">
        <f t="shared" si="10"/>
        <v/>
      </c>
    </row>
    <row r="27" spans="2:27" x14ac:dyDescent="0.25">
      <c r="B27" s="106" t="str">
        <f>Summary!G28</f>
        <v>No</v>
      </c>
      <c r="C27" s="106">
        <f>'ECM Input'!B32</f>
        <v>0</v>
      </c>
      <c r="D27" s="106">
        <f>'ECM Input'!C32</f>
        <v>0</v>
      </c>
      <c r="E27" s="106">
        <f>IF($B27="YES",'ECM Input'!D32,0)</f>
        <v>0</v>
      </c>
      <c r="F27" s="106">
        <f>IF($B27="YES",'ECM Input'!E32,0)</f>
        <v>0</v>
      </c>
      <c r="G27" s="106">
        <f>IF($B27="YES",'ECM Input'!F32,0)</f>
        <v>0</v>
      </c>
      <c r="H27" s="106">
        <f>IF($B27="YES",'ECM Input'!G32,0)</f>
        <v>0</v>
      </c>
      <c r="I27" s="106">
        <f>IF($B27="YES",'ECM Input'!H32,0)</f>
        <v>0</v>
      </c>
      <c r="J27" s="106">
        <f>IF($B27="YES",'ECM Input'!I32,0)</f>
        <v>0</v>
      </c>
      <c r="K27" s="106">
        <f>IF($B27="YES",'ECM Input'!J32,0)</f>
        <v>0</v>
      </c>
      <c r="L27" s="112">
        <f>F27*Summary!$J$12</f>
        <v>0</v>
      </c>
      <c r="M27" s="112">
        <f>G27*Summary!$J$12</f>
        <v>0</v>
      </c>
      <c r="N27" s="112">
        <f>H27*Summary!$J$12</f>
        <v>0</v>
      </c>
      <c r="O27" s="112">
        <f>I27*Summary!$J$12</f>
        <v>0</v>
      </c>
      <c r="P27" s="112">
        <f>J27*Summary!$J$12</f>
        <v>0</v>
      </c>
      <c r="Q27" s="112">
        <f>K27*Summary!$J$12</f>
        <v>0</v>
      </c>
      <c r="R27" s="113">
        <f t="shared" si="1"/>
        <v>0</v>
      </c>
      <c r="S27" s="113">
        <f t="shared" si="2"/>
        <v>0</v>
      </c>
      <c r="T27" s="113">
        <f t="shared" si="3"/>
        <v>0</v>
      </c>
      <c r="U27" s="106">
        <f t="shared" si="4"/>
        <v>0</v>
      </c>
      <c r="V27" s="114">
        <f t="shared" si="5"/>
        <v>0</v>
      </c>
      <c r="W27" s="114">
        <f t="shared" si="6"/>
        <v>0</v>
      </c>
      <c r="X27" s="114">
        <f t="shared" si="7"/>
        <v>0</v>
      </c>
      <c r="Y27" s="114">
        <f t="shared" si="8"/>
        <v>0</v>
      </c>
      <c r="Z27" s="114">
        <f t="shared" si="9"/>
        <v>0</v>
      </c>
      <c r="AA27" s="115" t="str">
        <f t="shared" si="10"/>
        <v/>
      </c>
    </row>
    <row r="28" spans="2:27" x14ac:dyDescent="0.25">
      <c r="B28" s="164" t="s">
        <v>53</v>
      </c>
      <c r="C28" s="164"/>
      <c r="D28" s="164"/>
      <c r="E28" s="106">
        <f>SUM(E3:E27)</f>
        <v>27500000</v>
      </c>
      <c r="F28" s="106">
        <f t="shared" ref="F28:Q28" si="11">SUM(F3:F27)</f>
        <v>7931818.1818181816</v>
      </c>
      <c r="G28" s="106">
        <f t="shared" si="11"/>
        <v>70588.235294117607</v>
      </c>
      <c r="H28" s="106">
        <f t="shared" si="11"/>
        <v>1000000</v>
      </c>
      <c r="I28" s="106">
        <f t="shared" si="11"/>
        <v>52390.998593530239</v>
      </c>
      <c r="J28" s="106">
        <f t="shared" si="11"/>
        <v>350000</v>
      </c>
      <c r="K28" s="106">
        <f t="shared" si="11"/>
        <v>0</v>
      </c>
      <c r="L28" s="106">
        <f t="shared" si="11"/>
        <v>7535227.2727272734</v>
      </c>
      <c r="M28" s="106">
        <f t="shared" si="11"/>
        <v>67058.823529411689</v>
      </c>
      <c r="N28" s="106">
        <f t="shared" si="11"/>
        <v>950000</v>
      </c>
      <c r="O28" s="106">
        <f t="shared" si="11"/>
        <v>49771.448663853727</v>
      </c>
      <c r="P28" s="106">
        <f t="shared" si="11"/>
        <v>332500</v>
      </c>
      <c r="Q28" s="106">
        <f t="shared" si="11"/>
        <v>0</v>
      </c>
      <c r="R28" s="106">
        <f t="shared" ref="R28" si="12">SUM(R3:R27)</f>
        <v>33275000</v>
      </c>
      <c r="S28" s="106">
        <f t="shared" ref="S28" si="13">SUM(S3:S27)</f>
        <v>412500</v>
      </c>
      <c r="T28" s="106">
        <f t="shared" ref="T28" si="14">SUM(T3:T27)</f>
        <v>41250</v>
      </c>
    </row>
  </sheetData>
  <mergeCells count="3">
    <mergeCell ref="L1:Q1"/>
    <mergeCell ref="F1:K1"/>
    <mergeCell ref="B28:D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34"/>
  <sheetViews>
    <sheetView workbookViewId="0">
      <selection activeCell="D19" sqref="D19"/>
    </sheetView>
  </sheetViews>
  <sheetFormatPr defaultColWidth="8.85546875" defaultRowHeight="15" x14ac:dyDescent="0.25"/>
  <cols>
    <col min="1" max="7" width="8.85546875" style="106"/>
    <col min="8" max="8" width="9.42578125" style="106" bestFit="1" customWidth="1"/>
    <col min="9" max="9" width="14.28515625" style="106" bestFit="1" customWidth="1"/>
    <col min="10" max="10" width="12.42578125" style="106" bestFit="1" customWidth="1"/>
    <col min="11" max="11" width="15.42578125" style="106" bestFit="1" customWidth="1"/>
    <col min="12" max="12" width="16.42578125" style="106" bestFit="1" customWidth="1"/>
    <col min="13" max="14" width="12.42578125" style="106" bestFit="1" customWidth="1"/>
    <col min="15" max="15" width="14.28515625" style="106" bestFit="1" customWidth="1"/>
    <col min="16" max="16" width="18.7109375" style="106" bestFit="1" customWidth="1"/>
    <col min="17" max="17" width="12.42578125" style="106" bestFit="1" customWidth="1"/>
    <col min="18" max="16384" width="8.85546875" style="106"/>
  </cols>
  <sheetData>
    <row r="1" spans="1:17" x14ac:dyDescent="0.25">
      <c r="B1" s="164" t="s">
        <v>59</v>
      </c>
      <c r="C1" s="164"/>
      <c r="D1" s="164"/>
      <c r="E1" s="164"/>
      <c r="F1" s="164"/>
      <c r="G1" s="107">
        <f>Summary!J8</f>
        <v>0</v>
      </c>
    </row>
    <row r="2" spans="1:17" x14ac:dyDescent="0.25">
      <c r="A2" s="106">
        <f>(Summary!J7-12)/12</f>
        <v>0.5</v>
      </c>
      <c r="B2" s="116">
        <f>'ECM Input'!D4+1</f>
        <v>1.03</v>
      </c>
      <c r="C2" s="116">
        <f>'ECM Input'!E4+1</f>
        <v>1.03</v>
      </c>
      <c r="D2" s="116">
        <f>'ECM Input'!F4+1</f>
        <v>1.03</v>
      </c>
      <c r="E2" s="116">
        <f>'ECM Input'!G4+1</f>
        <v>1.03</v>
      </c>
      <c r="F2" s="116">
        <f>'ECM Input'!H4+1</f>
        <v>1.03</v>
      </c>
      <c r="G2" s="106">
        <f>Calculations!L28</f>
        <v>7535227.2727272734</v>
      </c>
      <c r="H2" s="106">
        <f>Calculations!M28</f>
        <v>67058.823529411689</v>
      </c>
      <c r="I2" s="106">
        <f>Calculations!N28</f>
        <v>950000</v>
      </c>
      <c r="J2" s="106">
        <f>Calculations!O28</f>
        <v>49771.448663853727</v>
      </c>
      <c r="K2" s="106">
        <f>Calculations!P28</f>
        <v>332500</v>
      </c>
      <c r="L2" s="106">
        <f>Calculations!Q28</f>
        <v>0</v>
      </c>
      <c r="M2" s="106">
        <f>Calculations!S28</f>
        <v>412500</v>
      </c>
      <c r="N2" s="106">
        <f>Calculations!T28</f>
        <v>41250</v>
      </c>
      <c r="Q2" s="107">
        <f>Summary!J10+1</f>
        <v>1.21</v>
      </c>
    </row>
    <row r="3" spans="1:17" x14ac:dyDescent="0.25">
      <c r="A3" s="106" t="s">
        <v>55</v>
      </c>
      <c r="B3" s="106" t="s">
        <v>56</v>
      </c>
      <c r="C3" s="106" t="s">
        <v>57</v>
      </c>
      <c r="D3" s="106" t="s">
        <v>48</v>
      </c>
      <c r="E3" s="106" t="s">
        <v>58</v>
      </c>
      <c r="F3" s="106" t="s">
        <v>48</v>
      </c>
      <c r="G3" s="106" t="s">
        <v>56</v>
      </c>
      <c r="H3" s="106" t="s">
        <v>57</v>
      </c>
      <c r="I3" s="106" t="s">
        <v>48</v>
      </c>
      <c r="J3" s="106" t="s">
        <v>58</v>
      </c>
      <c r="K3" s="106" t="s">
        <v>28</v>
      </c>
      <c r="L3" s="106" t="s">
        <v>29</v>
      </c>
      <c r="M3" s="106" t="s">
        <v>44</v>
      </c>
      <c r="N3" s="106" t="s">
        <v>46</v>
      </c>
      <c r="O3" s="106" t="s">
        <v>60</v>
      </c>
      <c r="P3" s="106" t="s">
        <v>62</v>
      </c>
      <c r="Q3" s="106" t="s">
        <v>61</v>
      </c>
    </row>
    <row r="4" spans="1:17" x14ac:dyDescent="0.25">
      <c r="A4" s="106" t="s">
        <v>13</v>
      </c>
      <c r="B4" s="108">
        <f>'ECM Input'!D3</f>
        <v>0.11</v>
      </c>
      <c r="C4" s="108">
        <f>'ECM Input'!E3</f>
        <v>0.85</v>
      </c>
      <c r="D4" s="108">
        <f>'ECM Input'!F3</f>
        <v>1</v>
      </c>
      <c r="E4" s="108">
        <f>'ECM Input'!G3</f>
        <v>7.11</v>
      </c>
      <c r="F4" s="117">
        <v>1</v>
      </c>
      <c r="G4" s="114">
        <f>G$2*B4*$G$1</f>
        <v>0</v>
      </c>
      <c r="H4" s="114">
        <f t="shared" ref="H4:I4" si="0">H$2*C4*$G$1</f>
        <v>0</v>
      </c>
      <c r="I4" s="114">
        <f t="shared" si="0"/>
        <v>0</v>
      </c>
      <c r="J4" s="114">
        <f>J$2*E4*$G$1</f>
        <v>0</v>
      </c>
      <c r="K4" s="114">
        <f>K$2*$F4*$G$1</f>
        <v>0</v>
      </c>
      <c r="L4" s="114">
        <f>L$2*$F4*$G$1</f>
        <v>0</v>
      </c>
      <c r="M4" s="114">
        <f>M$2*$F4*$G$1</f>
        <v>0</v>
      </c>
      <c r="N4" s="114">
        <f>N$2*$F4*$G$1</f>
        <v>0</v>
      </c>
      <c r="O4" s="114">
        <f>SUM(G4:L4)</f>
        <v>0</v>
      </c>
      <c r="P4" s="114">
        <f>O4*(1-Summary!J$11)</f>
        <v>0</v>
      </c>
      <c r="Q4" s="114">
        <f>SUM(M4:N4)*Q$2</f>
        <v>0</v>
      </c>
    </row>
    <row r="5" spans="1:17" x14ac:dyDescent="0.25">
      <c r="A5" s="106">
        <v>1</v>
      </c>
      <c r="B5" s="108">
        <f>(B4*B2)*((B2-1)*$A$2+1)</f>
        <v>0.11499950000000002</v>
      </c>
      <c r="C5" s="108">
        <f t="shared" ref="C5:E5" si="1">(C4*C2)*((C2-1)*$A$2+1)</f>
        <v>0.88863250000000005</v>
      </c>
      <c r="D5" s="108">
        <f t="shared" si="1"/>
        <v>1.0454500000000002</v>
      </c>
      <c r="E5" s="108">
        <f t="shared" si="1"/>
        <v>7.4331495000000016</v>
      </c>
      <c r="F5" s="118">
        <f>(F4*F2)*((F2-1)*$A$2+1)</f>
        <v>1.0454500000000002</v>
      </c>
      <c r="G5" s="114">
        <f t="shared" ref="G5:G34" si="2">G$2*B5</f>
        <v>866547.36875000026</v>
      </c>
      <c r="H5" s="114">
        <f t="shared" ref="H5:J19" si="3">H$2*C5</f>
        <v>59590.649999999936</v>
      </c>
      <c r="I5" s="114">
        <f t="shared" si="3"/>
        <v>993177.50000000023</v>
      </c>
      <c r="J5" s="114">
        <f t="shared" si="3"/>
        <v>369958.61875000008</v>
      </c>
      <c r="K5" s="114">
        <f t="shared" ref="K5:N34" si="4">K$2*$F5</f>
        <v>347612.12500000006</v>
      </c>
      <c r="L5" s="114">
        <f t="shared" ref="L5:N19" si="5">L$2*$F5</f>
        <v>0</v>
      </c>
      <c r="M5" s="114">
        <f t="shared" si="5"/>
        <v>431248.12500000012</v>
      </c>
      <c r="N5" s="114">
        <f t="shared" si="5"/>
        <v>43124.812500000007</v>
      </c>
      <c r="O5" s="114">
        <f t="shared" ref="O5:O34" si="6">SUM(G5:L5)</f>
        <v>2636886.2625000002</v>
      </c>
      <c r="P5" s="114">
        <f>O5*(1-Summary!J$11)</f>
        <v>2636886.2625000002</v>
      </c>
      <c r="Q5" s="114">
        <f t="shared" ref="Q5:Q34" si="7">SUM(M5:N5)*Q$2</f>
        <v>573991.25437500014</v>
      </c>
    </row>
    <row r="6" spans="1:17" x14ac:dyDescent="0.25">
      <c r="A6" s="106">
        <v>2</v>
      </c>
      <c r="B6" s="114">
        <f>B5*B$2</f>
        <v>0.11844948500000002</v>
      </c>
      <c r="C6" s="114">
        <f t="shared" ref="C6:F6" si="8">C5*C$2</f>
        <v>0.91529147500000008</v>
      </c>
      <c r="D6" s="114">
        <f t="shared" si="8"/>
        <v>1.0768135000000003</v>
      </c>
      <c r="E6" s="114">
        <f t="shared" si="8"/>
        <v>7.6561439850000017</v>
      </c>
      <c r="F6" s="117">
        <f t="shared" si="8"/>
        <v>1.0768135000000003</v>
      </c>
      <c r="G6" s="114">
        <f t="shared" si="2"/>
        <v>892543.78981250024</v>
      </c>
      <c r="H6" s="114">
        <f t="shared" si="3"/>
        <v>61378.369499999935</v>
      </c>
      <c r="I6" s="114">
        <f t="shared" si="3"/>
        <v>1022972.8250000003</v>
      </c>
      <c r="J6" s="114">
        <f t="shared" si="3"/>
        <v>381057.37731250009</v>
      </c>
      <c r="K6" s="114">
        <f t="shared" si="4"/>
        <v>358040.48875000008</v>
      </c>
      <c r="L6" s="114">
        <f t="shared" si="5"/>
        <v>0</v>
      </c>
      <c r="M6" s="114">
        <f t="shared" si="5"/>
        <v>444185.56875000015</v>
      </c>
      <c r="N6" s="114">
        <f t="shared" si="5"/>
        <v>44418.556875000009</v>
      </c>
      <c r="O6" s="114">
        <f t="shared" si="6"/>
        <v>2715992.8503750004</v>
      </c>
      <c r="P6" s="114">
        <f>O6*(1-Summary!J$11)</f>
        <v>2715992.8503750004</v>
      </c>
      <c r="Q6" s="114">
        <f t="shared" si="7"/>
        <v>591210.99200625019</v>
      </c>
    </row>
    <row r="7" spans="1:17" x14ac:dyDescent="0.25">
      <c r="A7" s="106">
        <v>3</v>
      </c>
      <c r="B7" s="114">
        <f t="shared" ref="B7:B34" si="9">B6*B$2</f>
        <v>0.12200296955000002</v>
      </c>
      <c r="C7" s="114">
        <f t="shared" ref="C7:C34" si="10">C6*C$2</f>
        <v>0.94275021925000013</v>
      </c>
      <c r="D7" s="114">
        <f t="shared" ref="D7:D34" si="11">D6*D$2</f>
        <v>1.1091179050000004</v>
      </c>
      <c r="E7" s="114">
        <f t="shared" ref="E7:E34" si="12">E6*E$2</f>
        <v>7.8858283045500022</v>
      </c>
      <c r="F7" s="117">
        <f t="shared" ref="F7:F34" si="13">F6*F$2</f>
        <v>1.1091179050000004</v>
      </c>
      <c r="G7" s="114">
        <f t="shared" si="2"/>
        <v>919320.10350687522</v>
      </c>
      <c r="H7" s="114">
        <f t="shared" si="3"/>
        <v>63219.720584999937</v>
      </c>
      <c r="I7" s="114">
        <f t="shared" si="3"/>
        <v>1053662.0097500004</v>
      </c>
      <c r="J7" s="114">
        <f t="shared" si="3"/>
        <v>392489.09863187512</v>
      </c>
      <c r="K7" s="114">
        <f t="shared" si="4"/>
        <v>368781.70341250015</v>
      </c>
      <c r="L7" s="114">
        <f t="shared" si="5"/>
        <v>0</v>
      </c>
      <c r="M7" s="114">
        <f t="shared" si="5"/>
        <v>457511.13581250014</v>
      </c>
      <c r="N7" s="114">
        <f t="shared" si="5"/>
        <v>45751.113581250014</v>
      </c>
      <c r="O7" s="114">
        <f t="shared" si="6"/>
        <v>2797472.635886251</v>
      </c>
      <c r="P7" s="114">
        <f>O7*(1-Summary!J$11)</f>
        <v>2797472.635886251</v>
      </c>
      <c r="Q7" s="114">
        <f t="shared" si="7"/>
        <v>608947.32176643773</v>
      </c>
    </row>
    <row r="8" spans="1:17" x14ac:dyDescent="0.25">
      <c r="A8" s="106">
        <v>4</v>
      </c>
      <c r="B8" s="114">
        <f t="shared" si="9"/>
        <v>0.12566305863650001</v>
      </c>
      <c r="C8" s="114">
        <f t="shared" si="10"/>
        <v>0.97103272582750011</v>
      </c>
      <c r="D8" s="114">
        <f t="shared" si="11"/>
        <v>1.1423914421500005</v>
      </c>
      <c r="E8" s="114">
        <f t="shared" si="12"/>
        <v>8.122403153686502</v>
      </c>
      <c r="F8" s="117">
        <f t="shared" si="13"/>
        <v>1.1423914421500005</v>
      </c>
      <c r="G8" s="114">
        <f t="shared" si="2"/>
        <v>946899.70661208138</v>
      </c>
      <c r="H8" s="114">
        <f t="shared" si="3"/>
        <v>65116.312202549932</v>
      </c>
      <c r="I8" s="114">
        <f t="shared" si="3"/>
        <v>1085271.8700425006</v>
      </c>
      <c r="J8" s="114">
        <f t="shared" si="3"/>
        <v>404263.77159083134</v>
      </c>
      <c r="K8" s="114">
        <f t="shared" si="4"/>
        <v>379845.1545148752</v>
      </c>
      <c r="L8" s="114">
        <f t="shared" si="5"/>
        <v>0</v>
      </c>
      <c r="M8" s="114">
        <f t="shared" si="5"/>
        <v>471236.46988687525</v>
      </c>
      <c r="N8" s="114">
        <f t="shared" si="5"/>
        <v>47123.64698868752</v>
      </c>
      <c r="O8" s="114">
        <f t="shared" si="6"/>
        <v>2881396.8149628383</v>
      </c>
      <c r="P8" s="114">
        <f>O8*(1-Summary!J$11)</f>
        <v>2881396.8149628383</v>
      </c>
      <c r="Q8" s="114">
        <f t="shared" si="7"/>
        <v>627215.74141943094</v>
      </c>
    </row>
    <row r="9" spans="1:17" x14ac:dyDescent="0.25">
      <c r="A9" s="106">
        <v>5</v>
      </c>
      <c r="B9" s="114">
        <f t="shared" si="9"/>
        <v>0.12943295039559502</v>
      </c>
      <c r="C9" s="114">
        <f t="shared" si="10"/>
        <v>1.0001637076023251</v>
      </c>
      <c r="D9" s="114">
        <f t="shared" si="11"/>
        <v>1.1766631854145007</v>
      </c>
      <c r="E9" s="114">
        <f t="shared" si="12"/>
        <v>8.366075248297097</v>
      </c>
      <c r="F9" s="117">
        <f t="shared" si="13"/>
        <v>1.1766631854145007</v>
      </c>
      <c r="G9" s="114">
        <f t="shared" si="2"/>
        <v>975306.69781044393</v>
      </c>
      <c r="H9" s="114">
        <f t="shared" si="3"/>
        <v>67069.801568626426</v>
      </c>
      <c r="I9" s="114">
        <f t="shared" si="3"/>
        <v>1117830.0261437756</v>
      </c>
      <c r="J9" s="114">
        <f t="shared" si="3"/>
        <v>416391.68473855627</v>
      </c>
      <c r="K9" s="114">
        <f t="shared" si="4"/>
        <v>391240.50915032148</v>
      </c>
      <c r="L9" s="114">
        <f t="shared" si="5"/>
        <v>0</v>
      </c>
      <c r="M9" s="114">
        <f t="shared" si="5"/>
        <v>485373.56398348149</v>
      </c>
      <c r="N9" s="114">
        <f t="shared" si="5"/>
        <v>48537.356398348151</v>
      </c>
      <c r="O9" s="114">
        <f t="shared" si="6"/>
        <v>2967838.7194117238</v>
      </c>
      <c r="P9" s="114">
        <f>O9*(1-Summary!J$11)</f>
        <v>2967838.7194117238</v>
      </c>
      <c r="Q9" s="114">
        <f t="shared" si="7"/>
        <v>646032.21366201376</v>
      </c>
    </row>
    <row r="10" spans="1:17" x14ac:dyDescent="0.25">
      <c r="A10" s="106">
        <v>6</v>
      </c>
      <c r="B10" s="114">
        <f t="shared" si="9"/>
        <v>0.13331593890746288</v>
      </c>
      <c r="C10" s="114">
        <f t="shared" si="10"/>
        <v>1.0301686188303949</v>
      </c>
      <c r="D10" s="114">
        <f t="shared" si="11"/>
        <v>1.2119630809769357</v>
      </c>
      <c r="E10" s="114">
        <f t="shared" si="12"/>
        <v>8.6170575057460095</v>
      </c>
      <c r="F10" s="117">
        <f t="shared" si="13"/>
        <v>1.2119630809769357</v>
      </c>
      <c r="G10" s="114">
        <f t="shared" si="2"/>
        <v>1004565.8987447573</v>
      </c>
      <c r="H10" s="114">
        <f t="shared" si="3"/>
        <v>69081.895615685222</v>
      </c>
      <c r="I10" s="114">
        <f t="shared" si="3"/>
        <v>1151364.926928089</v>
      </c>
      <c r="J10" s="114">
        <f t="shared" si="3"/>
        <v>428883.43528071296</v>
      </c>
      <c r="K10" s="114">
        <f t="shared" si="4"/>
        <v>402977.7244248311</v>
      </c>
      <c r="L10" s="114">
        <f t="shared" si="5"/>
        <v>0</v>
      </c>
      <c r="M10" s="114">
        <f t="shared" si="5"/>
        <v>499934.770902986</v>
      </c>
      <c r="N10" s="114">
        <f t="shared" si="5"/>
        <v>49993.477090298598</v>
      </c>
      <c r="O10" s="114">
        <f t="shared" si="6"/>
        <v>3056873.8809940754</v>
      </c>
      <c r="P10" s="114">
        <f>O10*(1-Summary!J$11)</f>
        <v>3056873.8809940754</v>
      </c>
      <c r="Q10" s="114">
        <f t="shared" si="7"/>
        <v>665413.18007187441</v>
      </c>
    </row>
    <row r="11" spans="1:17" x14ac:dyDescent="0.25">
      <c r="A11" s="106">
        <v>7</v>
      </c>
      <c r="B11" s="114">
        <f t="shared" si="9"/>
        <v>0.13731541707468678</v>
      </c>
      <c r="C11" s="114">
        <f t="shared" si="10"/>
        <v>1.0610736773953067</v>
      </c>
      <c r="D11" s="114">
        <f t="shared" si="11"/>
        <v>1.2483219734062438</v>
      </c>
      <c r="E11" s="114">
        <f t="shared" si="12"/>
        <v>8.8755692309183907</v>
      </c>
      <c r="F11" s="117">
        <f t="shared" si="13"/>
        <v>1.2483219734062438</v>
      </c>
      <c r="G11" s="114">
        <f t="shared" si="2"/>
        <v>1034702.8757071001</v>
      </c>
      <c r="H11" s="114">
        <f t="shared" si="3"/>
        <v>71154.352484155781</v>
      </c>
      <c r="I11" s="114">
        <f t="shared" si="3"/>
        <v>1185905.8747359316</v>
      </c>
      <c r="J11" s="114">
        <f t="shared" si="3"/>
        <v>441749.93833913439</v>
      </c>
      <c r="K11" s="114">
        <f t="shared" si="4"/>
        <v>415067.05615757609</v>
      </c>
      <c r="L11" s="114">
        <f t="shared" si="5"/>
        <v>0</v>
      </c>
      <c r="M11" s="114">
        <f t="shared" si="5"/>
        <v>514932.81403007556</v>
      </c>
      <c r="N11" s="114">
        <f t="shared" si="5"/>
        <v>51493.281403007561</v>
      </c>
      <c r="O11" s="114">
        <f t="shared" si="6"/>
        <v>3148580.0974238976</v>
      </c>
      <c r="P11" s="114">
        <f>O11*(1-Summary!J$11)</f>
        <v>3148580.0974238976</v>
      </c>
      <c r="Q11" s="114">
        <f t="shared" si="7"/>
        <v>685375.57547403057</v>
      </c>
    </row>
    <row r="12" spans="1:17" x14ac:dyDescent="0.25">
      <c r="A12" s="106">
        <v>8</v>
      </c>
      <c r="B12" s="114">
        <f t="shared" si="9"/>
        <v>0.14143487958692738</v>
      </c>
      <c r="C12" s="114">
        <f t="shared" si="10"/>
        <v>1.0929058877171658</v>
      </c>
      <c r="D12" s="114">
        <f t="shared" si="11"/>
        <v>1.2857716326084312</v>
      </c>
      <c r="E12" s="114">
        <f t="shared" si="12"/>
        <v>9.1418363078459421</v>
      </c>
      <c r="F12" s="117">
        <f t="shared" si="13"/>
        <v>1.2857716326084312</v>
      </c>
      <c r="G12" s="114">
        <f t="shared" si="2"/>
        <v>1065743.961978313</v>
      </c>
      <c r="H12" s="114">
        <f t="shared" si="3"/>
        <v>73288.983058680446</v>
      </c>
      <c r="I12" s="114">
        <f t="shared" si="3"/>
        <v>1221483.0509780096</v>
      </c>
      <c r="J12" s="114">
        <f t="shared" si="3"/>
        <v>455002.43648930843</v>
      </c>
      <c r="K12" s="114">
        <f t="shared" si="4"/>
        <v>427519.06784230337</v>
      </c>
      <c r="L12" s="114">
        <f t="shared" si="5"/>
        <v>0</v>
      </c>
      <c r="M12" s="114">
        <f t="shared" si="5"/>
        <v>530380.79845097789</v>
      </c>
      <c r="N12" s="114">
        <f t="shared" si="5"/>
        <v>53038.079845097789</v>
      </c>
      <c r="O12" s="114">
        <f t="shared" si="6"/>
        <v>3243037.5003466145</v>
      </c>
      <c r="P12" s="114">
        <f>O12*(1-Summary!J$11)</f>
        <v>3243037.5003466145</v>
      </c>
      <c r="Q12" s="114">
        <f t="shared" si="7"/>
        <v>705936.84273825143</v>
      </c>
    </row>
    <row r="13" spans="1:17" x14ac:dyDescent="0.25">
      <c r="A13" s="106">
        <v>9</v>
      </c>
      <c r="B13" s="114">
        <f t="shared" si="9"/>
        <v>0.14567792597453522</v>
      </c>
      <c r="C13" s="114">
        <f t="shared" si="10"/>
        <v>1.1256930643486809</v>
      </c>
      <c r="D13" s="114">
        <f t="shared" si="11"/>
        <v>1.3243447815866842</v>
      </c>
      <c r="E13" s="114">
        <f t="shared" si="12"/>
        <v>9.4160913970813205</v>
      </c>
      <c r="F13" s="117">
        <f t="shared" si="13"/>
        <v>1.3243447815866842</v>
      </c>
      <c r="G13" s="114">
        <f t="shared" si="2"/>
        <v>1097716.2808376625</v>
      </c>
      <c r="H13" s="114">
        <f t="shared" si="3"/>
        <v>75487.652550440864</v>
      </c>
      <c r="I13" s="114">
        <f t="shared" si="3"/>
        <v>1258127.54250735</v>
      </c>
      <c r="J13" s="114">
        <f t="shared" si="3"/>
        <v>468652.50958398764</v>
      </c>
      <c r="K13" s="114">
        <f t="shared" si="4"/>
        <v>440344.63987757248</v>
      </c>
      <c r="L13" s="114">
        <f t="shared" si="5"/>
        <v>0</v>
      </c>
      <c r="M13" s="114">
        <f t="shared" si="5"/>
        <v>546292.22240450722</v>
      </c>
      <c r="N13" s="114">
        <f t="shared" si="5"/>
        <v>54629.222240450727</v>
      </c>
      <c r="O13" s="114">
        <f t="shared" si="6"/>
        <v>3340328.6253570137</v>
      </c>
      <c r="P13" s="114">
        <f>O13*(1-Summary!J$11)</f>
        <v>3340328.6253570137</v>
      </c>
      <c r="Q13" s="114">
        <f t="shared" si="7"/>
        <v>727114.94802039908</v>
      </c>
    </row>
    <row r="14" spans="1:17" x14ac:dyDescent="0.25">
      <c r="A14" s="106">
        <v>10</v>
      </c>
      <c r="B14" s="114">
        <f t="shared" si="9"/>
        <v>0.15004826375377128</v>
      </c>
      <c r="C14" s="114">
        <f t="shared" si="10"/>
        <v>1.1594638562791413</v>
      </c>
      <c r="D14" s="114">
        <f t="shared" si="11"/>
        <v>1.3640751250342849</v>
      </c>
      <c r="E14" s="114">
        <f t="shared" si="12"/>
        <v>9.6985741389937612</v>
      </c>
      <c r="F14" s="117">
        <f t="shared" si="13"/>
        <v>1.3640751250342849</v>
      </c>
      <c r="G14" s="114">
        <f t="shared" si="2"/>
        <v>1130647.7692627925</v>
      </c>
      <c r="H14" s="114">
        <f t="shared" si="3"/>
        <v>77752.282126954087</v>
      </c>
      <c r="I14" s="114">
        <f t="shared" si="3"/>
        <v>1295871.3687825706</v>
      </c>
      <c r="J14" s="114">
        <f t="shared" si="3"/>
        <v>482712.08487150737</v>
      </c>
      <c r="K14" s="114">
        <f t="shared" si="4"/>
        <v>453554.97907389974</v>
      </c>
      <c r="L14" s="114">
        <f t="shared" si="5"/>
        <v>0</v>
      </c>
      <c r="M14" s="114">
        <f t="shared" si="5"/>
        <v>562680.98907664255</v>
      </c>
      <c r="N14" s="114">
        <f t="shared" si="5"/>
        <v>56268.098907664251</v>
      </c>
      <c r="O14" s="114">
        <f t="shared" si="6"/>
        <v>3440538.484117724</v>
      </c>
      <c r="P14" s="114">
        <f>O14*(1-Summary!J$11)</f>
        <v>3440538.484117724</v>
      </c>
      <c r="Q14" s="114">
        <f t="shared" si="7"/>
        <v>748928.39646101126</v>
      </c>
    </row>
    <row r="15" spans="1:17" x14ac:dyDescent="0.25">
      <c r="A15" s="106">
        <v>11</v>
      </c>
      <c r="B15" s="114">
        <f t="shared" si="9"/>
        <v>0.15454971166638443</v>
      </c>
      <c r="C15" s="114">
        <f t="shared" si="10"/>
        <v>1.1942477719675155</v>
      </c>
      <c r="D15" s="114">
        <f t="shared" si="11"/>
        <v>1.4049973787853134</v>
      </c>
      <c r="E15" s="114">
        <f t="shared" si="12"/>
        <v>9.9895313631635752</v>
      </c>
      <c r="F15" s="117">
        <f t="shared" si="13"/>
        <v>1.4049973787853134</v>
      </c>
      <c r="G15" s="114">
        <f t="shared" si="2"/>
        <v>1164567.2023406764</v>
      </c>
      <c r="H15" s="114">
        <f t="shared" si="3"/>
        <v>80084.850590762711</v>
      </c>
      <c r="I15" s="114">
        <f t="shared" si="3"/>
        <v>1334747.5098460477</v>
      </c>
      <c r="J15" s="114">
        <f t="shared" si="3"/>
        <v>497193.44741765264</v>
      </c>
      <c r="K15" s="114">
        <f t="shared" si="4"/>
        <v>467161.62844611669</v>
      </c>
      <c r="L15" s="114">
        <f t="shared" si="5"/>
        <v>0</v>
      </c>
      <c r="M15" s="114">
        <f t="shared" si="5"/>
        <v>579561.41874894174</v>
      </c>
      <c r="N15" s="114">
        <f t="shared" si="5"/>
        <v>57956.14187489418</v>
      </c>
      <c r="O15" s="114">
        <f t="shared" si="6"/>
        <v>3543754.6386412559</v>
      </c>
      <c r="P15" s="114">
        <f>O15*(1-Summary!J$11)</f>
        <v>3543754.6386412559</v>
      </c>
      <c r="Q15" s="114">
        <f t="shared" si="7"/>
        <v>771396.24835484137</v>
      </c>
    </row>
    <row r="16" spans="1:17" x14ac:dyDescent="0.25">
      <c r="A16" s="106">
        <v>12</v>
      </c>
      <c r="B16" s="114">
        <f t="shared" si="9"/>
        <v>0.15918620301637595</v>
      </c>
      <c r="C16" s="114">
        <f t="shared" si="10"/>
        <v>1.2300752051265411</v>
      </c>
      <c r="D16" s="114">
        <f t="shared" si="11"/>
        <v>1.4471473001488728</v>
      </c>
      <c r="E16" s="114">
        <f t="shared" si="12"/>
        <v>10.289217304058482</v>
      </c>
      <c r="F16" s="117">
        <f t="shared" si="13"/>
        <v>1.4471473001488728</v>
      </c>
      <c r="G16" s="114">
        <f t="shared" si="2"/>
        <v>1199504.2184108966</v>
      </c>
      <c r="H16" s="114">
        <f t="shared" si="3"/>
        <v>82487.396108485613</v>
      </c>
      <c r="I16" s="114">
        <f t="shared" si="3"/>
        <v>1374789.9351414291</v>
      </c>
      <c r="J16" s="114">
        <f t="shared" si="3"/>
        <v>512109.25084018218</v>
      </c>
      <c r="K16" s="114">
        <f t="shared" si="4"/>
        <v>481176.4772995002</v>
      </c>
      <c r="L16" s="114">
        <f t="shared" si="5"/>
        <v>0</v>
      </c>
      <c r="M16" s="114">
        <f t="shared" si="5"/>
        <v>596948.26131140999</v>
      </c>
      <c r="N16" s="114">
        <f t="shared" si="5"/>
        <v>59694.826131141002</v>
      </c>
      <c r="O16" s="114">
        <f t="shared" si="6"/>
        <v>3650067.2778004939</v>
      </c>
      <c r="P16" s="114">
        <f>O16*(1-Summary!J$11)</f>
        <v>3650067.2778004939</v>
      </c>
      <c r="Q16" s="114">
        <f t="shared" si="7"/>
        <v>794538.1358054867</v>
      </c>
    </row>
    <row r="17" spans="1:17" x14ac:dyDescent="0.25">
      <c r="A17" s="106">
        <v>13</v>
      </c>
      <c r="B17" s="114">
        <f t="shared" si="9"/>
        <v>0.16396178910686723</v>
      </c>
      <c r="C17" s="114">
        <f t="shared" si="10"/>
        <v>1.2669774612803373</v>
      </c>
      <c r="D17" s="114">
        <f t="shared" si="11"/>
        <v>1.4905617191533391</v>
      </c>
      <c r="E17" s="114">
        <f t="shared" si="12"/>
        <v>10.597893823180238</v>
      </c>
      <c r="F17" s="117">
        <f t="shared" si="13"/>
        <v>1.4905617191533391</v>
      </c>
      <c r="G17" s="114">
        <f t="shared" si="2"/>
        <v>1235489.3449632234</v>
      </c>
      <c r="H17" s="114">
        <f t="shared" si="3"/>
        <v>84962.017991740169</v>
      </c>
      <c r="I17" s="114">
        <f t="shared" si="3"/>
        <v>1416033.6331956722</v>
      </c>
      <c r="J17" s="114">
        <f t="shared" si="3"/>
        <v>527472.5283653877</v>
      </c>
      <c r="K17" s="114">
        <f t="shared" si="4"/>
        <v>495611.77161848528</v>
      </c>
      <c r="L17" s="114">
        <f t="shared" si="5"/>
        <v>0</v>
      </c>
      <c r="M17" s="114">
        <f t="shared" si="5"/>
        <v>614856.7091507524</v>
      </c>
      <c r="N17" s="114">
        <f t="shared" si="5"/>
        <v>61485.670915075236</v>
      </c>
      <c r="O17" s="114">
        <f t="shared" si="6"/>
        <v>3759569.2961345091</v>
      </c>
      <c r="P17" s="114">
        <f>O17*(1-Summary!J$11)</f>
        <v>3759569.2961345091</v>
      </c>
      <c r="Q17" s="114">
        <f t="shared" si="7"/>
        <v>818374.27987965138</v>
      </c>
    </row>
    <row r="18" spans="1:17" x14ac:dyDescent="0.25">
      <c r="A18" s="106">
        <v>14</v>
      </c>
      <c r="B18" s="114">
        <f t="shared" si="9"/>
        <v>0.16888064278007325</v>
      </c>
      <c r="C18" s="114">
        <f t="shared" si="10"/>
        <v>1.3049867851187473</v>
      </c>
      <c r="D18" s="114">
        <f t="shared" si="11"/>
        <v>1.5352785707279393</v>
      </c>
      <c r="E18" s="114">
        <f t="shared" si="12"/>
        <v>10.915830637875645</v>
      </c>
      <c r="F18" s="117">
        <f t="shared" si="13"/>
        <v>1.5352785707279393</v>
      </c>
      <c r="G18" s="114">
        <f t="shared" si="2"/>
        <v>1272554.0253121203</v>
      </c>
      <c r="H18" s="114">
        <f t="shared" si="3"/>
        <v>87510.878531492373</v>
      </c>
      <c r="I18" s="114">
        <f t="shared" si="3"/>
        <v>1458514.6421915423</v>
      </c>
      <c r="J18" s="114">
        <f t="shared" si="3"/>
        <v>543296.7042163494</v>
      </c>
      <c r="K18" s="114">
        <f t="shared" si="4"/>
        <v>510480.12476703979</v>
      </c>
      <c r="L18" s="114">
        <f t="shared" si="5"/>
        <v>0</v>
      </c>
      <c r="M18" s="114">
        <f t="shared" si="5"/>
        <v>633302.41042527498</v>
      </c>
      <c r="N18" s="114">
        <f t="shared" si="5"/>
        <v>63330.241042527494</v>
      </c>
      <c r="O18" s="114">
        <f t="shared" si="6"/>
        <v>3872356.375018544</v>
      </c>
      <c r="P18" s="114">
        <f>O18*(1-Summary!J$11)</f>
        <v>3872356.375018544</v>
      </c>
      <c r="Q18" s="114">
        <f t="shared" si="7"/>
        <v>842925.50827604102</v>
      </c>
    </row>
    <row r="19" spans="1:17" x14ac:dyDescent="0.25">
      <c r="A19" s="106">
        <v>15</v>
      </c>
      <c r="B19" s="114">
        <f t="shared" si="9"/>
        <v>0.17394706206347546</v>
      </c>
      <c r="C19" s="114">
        <f t="shared" si="10"/>
        <v>1.3441363886723099</v>
      </c>
      <c r="D19" s="114">
        <f t="shared" si="11"/>
        <v>1.5813369278497775</v>
      </c>
      <c r="E19" s="114">
        <f t="shared" si="12"/>
        <v>11.243305557011915</v>
      </c>
      <c r="F19" s="117">
        <f t="shared" si="13"/>
        <v>1.5813369278497775</v>
      </c>
      <c r="G19" s="114">
        <f t="shared" si="2"/>
        <v>1310730.6460714838</v>
      </c>
      <c r="H19" s="114">
        <f t="shared" si="3"/>
        <v>90136.204887437154</v>
      </c>
      <c r="I19" s="114">
        <f t="shared" si="3"/>
        <v>1502270.0814572887</v>
      </c>
      <c r="J19" s="114">
        <f t="shared" si="3"/>
        <v>559595.60534283984</v>
      </c>
      <c r="K19" s="114">
        <f t="shared" si="4"/>
        <v>525794.52851005108</v>
      </c>
      <c r="L19" s="114">
        <f t="shared" si="5"/>
        <v>0</v>
      </c>
      <c r="M19" s="114">
        <f t="shared" si="5"/>
        <v>652301.48273803329</v>
      </c>
      <c r="N19" s="114">
        <f t="shared" si="5"/>
        <v>65230.148273803323</v>
      </c>
      <c r="O19" s="114">
        <f t="shared" si="6"/>
        <v>3988527.0662691006</v>
      </c>
      <c r="P19" s="114">
        <f>O19*(1-Summary!J$11)</f>
        <v>3988527.0662691006</v>
      </c>
      <c r="Q19" s="114">
        <f t="shared" si="7"/>
        <v>868213.2735243222</v>
      </c>
    </row>
    <row r="20" spans="1:17" x14ac:dyDescent="0.25">
      <c r="A20" s="106">
        <v>16</v>
      </c>
      <c r="B20" s="114">
        <f t="shared" si="9"/>
        <v>0.17916547392537974</v>
      </c>
      <c r="C20" s="114">
        <f t="shared" si="10"/>
        <v>1.3844604803324791</v>
      </c>
      <c r="D20" s="114">
        <f t="shared" si="11"/>
        <v>1.6287770356852709</v>
      </c>
      <c r="E20" s="114">
        <f t="shared" si="12"/>
        <v>11.580604723722272</v>
      </c>
      <c r="F20" s="117">
        <f t="shared" si="13"/>
        <v>1.6287770356852709</v>
      </c>
      <c r="G20" s="114">
        <f t="shared" si="2"/>
        <v>1350052.5654536285</v>
      </c>
      <c r="H20" s="114">
        <f t="shared" ref="H20:H34" si="14">H$2*C20</f>
        <v>92840.291034060268</v>
      </c>
      <c r="I20" s="114">
        <f t="shared" ref="I20:I34" si="15">I$2*D20</f>
        <v>1547338.1839010073</v>
      </c>
      <c r="J20" s="114">
        <f t="shared" ref="J20:J34" si="16">J$2*E20</f>
        <v>576383.47350312502</v>
      </c>
      <c r="K20" s="114">
        <f t="shared" si="4"/>
        <v>541568.36436535255</v>
      </c>
      <c r="L20" s="114">
        <f t="shared" si="4"/>
        <v>0</v>
      </c>
      <c r="M20" s="114">
        <f t="shared" si="4"/>
        <v>671870.5272201742</v>
      </c>
      <c r="N20" s="114">
        <f t="shared" si="4"/>
        <v>67187.052722017426</v>
      </c>
      <c r="O20" s="114">
        <f t="shared" si="6"/>
        <v>4108182.8782571731</v>
      </c>
      <c r="P20" s="114">
        <f>O20*(1-Summary!J$11)</f>
        <v>4108182.8782571731</v>
      </c>
      <c r="Q20" s="114">
        <f t="shared" si="7"/>
        <v>894259.67173005186</v>
      </c>
    </row>
    <row r="21" spans="1:17" x14ac:dyDescent="0.25">
      <c r="A21" s="106">
        <v>17</v>
      </c>
      <c r="B21" s="114">
        <f t="shared" si="9"/>
        <v>0.18454043814314114</v>
      </c>
      <c r="C21" s="114">
        <f t="shared" si="10"/>
        <v>1.4259942947424535</v>
      </c>
      <c r="D21" s="114">
        <f t="shared" si="11"/>
        <v>1.677640346755829</v>
      </c>
      <c r="E21" s="114">
        <f t="shared" si="12"/>
        <v>11.928022865433942</v>
      </c>
      <c r="F21" s="117">
        <f t="shared" si="13"/>
        <v>1.677640346755829</v>
      </c>
      <c r="G21" s="114">
        <f t="shared" si="2"/>
        <v>1390554.1424172374</v>
      </c>
      <c r="H21" s="114">
        <f t="shared" si="14"/>
        <v>95625.499765082073</v>
      </c>
      <c r="I21" s="114">
        <f t="shared" si="15"/>
        <v>1593758.3294180376</v>
      </c>
      <c r="J21" s="114">
        <f t="shared" si="16"/>
        <v>593674.97770821885</v>
      </c>
      <c r="K21" s="114">
        <f t="shared" si="4"/>
        <v>557815.41529631312</v>
      </c>
      <c r="L21" s="114">
        <f t="shared" si="4"/>
        <v>0</v>
      </c>
      <c r="M21" s="114">
        <f t="shared" si="4"/>
        <v>692026.64303677948</v>
      </c>
      <c r="N21" s="114">
        <f t="shared" si="4"/>
        <v>69202.664303677942</v>
      </c>
      <c r="O21" s="114">
        <f t="shared" si="6"/>
        <v>4231428.3646048894</v>
      </c>
      <c r="P21" s="114">
        <f>O21*(1-Summary!J$11)</f>
        <v>4231428.3646048894</v>
      </c>
      <c r="Q21" s="114">
        <f t="shared" si="7"/>
        <v>921087.46188195352</v>
      </c>
    </row>
    <row r="22" spans="1:17" x14ac:dyDescent="0.25">
      <c r="A22" s="106">
        <v>18</v>
      </c>
      <c r="B22" s="114">
        <f t="shared" si="9"/>
        <v>0.19007665128743537</v>
      </c>
      <c r="C22" s="114">
        <f t="shared" si="10"/>
        <v>1.4687741235847271</v>
      </c>
      <c r="D22" s="114">
        <f t="shared" si="11"/>
        <v>1.7279695571585039</v>
      </c>
      <c r="E22" s="114">
        <f t="shared" si="12"/>
        <v>12.285863551396961</v>
      </c>
      <c r="F22" s="117">
        <f t="shared" si="13"/>
        <v>1.7279695571585039</v>
      </c>
      <c r="G22" s="114">
        <f t="shared" si="2"/>
        <v>1432270.7666897546</v>
      </c>
      <c r="H22" s="114">
        <f t="shared" si="14"/>
        <v>98494.264758034536</v>
      </c>
      <c r="I22" s="114">
        <f t="shared" si="15"/>
        <v>1641571.0793005787</v>
      </c>
      <c r="J22" s="114">
        <f t="shared" si="16"/>
        <v>611485.22703946545</v>
      </c>
      <c r="K22" s="114">
        <f t="shared" si="4"/>
        <v>574549.87775520259</v>
      </c>
      <c r="L22" s="114">
        <f t="shared" si="4"/>
        <v>0</v>
      </c>
      <c r="M22" s="114">
        <f t="shared" si="4"/>
        <v>712787.44232788286</v>
      </c>
      <c r="N22" s="114">
        <f t="shared" si="4"/>
        <v>71278.744232788289</v>
      </c>
      <c r="O22" s="114">
        <f t="shared" si="6"/>
        <v>4358371.2155430354</v>
      </c>
      <c r="P22" s="114">
        <f>O22*(1-Summary!J$11)</f>
        <v>4358371.2155430354</v>
      </c>
      <c r="Q22" s="114">
        <f t="shared" si="7"/>
        <v>948720.0857384121</v>
      </c>
    </row>
    <row r="23" spans="1:17" x14ac:dyDescent="0.25">
      <c r="A23" s="106">
        <v>19</v>
      </c>
      <c r="B23" s="114">
        <f t="shared" si="9"/>
        <v>0.19577895082605842</v>
      </c>
      <c r="C23" s="114">
        <f t="shared" si="10"/>
        <v>1.5128373472922689</v>
      </c>
      <c r="D23" s="114">
        <f t="shared" si="11"/>
        <v>1.779808643873259</v>
      </c>
      <c r="E23" s="114">
        <f t="shared" si="12"/>
        <v>12.654439457938871</v>
      </c>
      <c r="F23" s="117">
        <f t="shared" si="13"/>
        <v>1.779808643873259</v>
      </c>
      <c r="G23" s="114">
        <f t="shared" si="2"/>
        <v>1475238.8896904471</v>
      </c>
      <c r="H23" s="114">
        <f t="shared" si="14"/>
        <v>101449.09270077557</v>
      </c>
      <c r="I23" s="114">
        <f t="shared" si="15"/>
        <v>1690818.211679596</v>
      </c>
      <c r="J23" s="114">
        <f t="shared" si="16"/>
        <v>629829.78385064949</v>
      </c>
      <c r="K23" s="114">
        <f t="shared" si="4"/>
        <v>591786.3740878586</v>
      </c>
      <c r="L23" s="114">
        <f t="shared" si="4"/>
        <v>0</v>
      </c>
      <c r="M23" s="114">
        <f t="shared" si="4"/>
        <v>734171.06559771928</v>
      </c>
      <c r="N23" s="114">
        <f t="shared" si="4"/>
        <v>73417.106559771928</v>
      </c>
      <c r="O23" s="114">
        <f t="shared" si="6"/>
        <v>4489122.3520093272</v>
      </c>
      <c r="P23" s="114">
        <f>O23*(1-Summary!J$11)</f>
        <v>4489122.3520093272</v>
      </c>
      <c r="Q23" s="114">
        <f t="shared" si="7"/>
        <v>977181.68831056438</v>
      </c>
    </row>
    <row r="24" spans="1:17" x14ac:dyDescent="0.25">
      <c r="A24" s="106">
        <v>20</v>
      </c>
      <c r="B24" s="114">
        <f t="shared" si="9"/>
        <v>0.20165231935084019</v>
      </c>
      <c r="C24" s="114">
        <f t="shared" si="10"/>
        <v>1.558222467711037</v>
      </c>
      <c r="D24" s="114">
        <f t="shared" si="11"/>
        <v>1.8332029031894568</v>
      </c>
      <c r="E24" s="114">
        <f t="shared" si="12"/>
        <v>13.034072641677037</v>
      </c>
      <c r="F24" s="117">
        <f t="shared" si="13"/>
        <v>1.8332029031894568</v>
      </c>
      <c r="G24" s="114">
        <f t="shared" si="2"/>
        <v>1519496.0563811606</v>
      </c>
      <c r="H24" s="114">
        <f t="shared" si="14"/>
        <v>104492.56548179884</v>
      </c>
      <c r="I24" s="114">
        <f t="shared" si="15"/>
        <v>1741542.7580299838</v>
      </c>
      <c r="J24" s="114">
        <f t="shared" si="16"/>
        <v>648724.67736616894</v>
      </c>
      <c r="K24" s="114">
        <f t="shared" si="4"/>
        <v>609539.96531049442</v>
      </c>
      <c r="L24" s="114">
        <f t="shared" si="4"/>
        <v>0</v>
      </c>
      <c r="M24" s="114">
        <f t="shared" si="4"/>
        <v>756196.19756565092</v>
      </c>
      <c r="N24" s="114">
        <f t="shared" si="4"/>
        <v>75619.619756565095</v>
      </c>
      <c r="O24" s="114">
        <f t="shared" si="6"/>
        <v>4623796.022569607</v>
      </c>
      <c r="P24" s="114">
        <f>O24*(1-Summary!J$11)</f>
        <v>4623796.022569607</v>
      </c>
      <c r="Q24" s="114">
        <f t="shared" si="7"/>
        <v>1006497.1389598814</v>
      </c>
    </row>
    <row r="25" spans="1:17" x14ac:dyDescent="0.25">
      <c r="A25" s="106">
        <v>21</v>
      </c>
      <c r="B25" s="114">
        <f t="shared" si="9"/>
        <v>0.2077018889313654</v>
      </c>
      <c r="C25" s="114">
        <f t="shared" si="10"/>
        <v>1.6049691417423682</v>
      </c>
      <c r="D25" s="114">
        <f t="shared" si="11"/>
        <v>1.8881989902851406</v>
      </c>
      <c r="E25" s="114">
        <f t="shared" si="12"/>
        <v>13.425094820927349</v>
      </c>
      <c r="F25" s="117">
        <f t="shared" si="13"/>
        <v>1.8881989902851406</v>
      </c>
      <c r="G25" s="114">
        <f t="shared" si="2"/>
        <v>1565080.9380725955</v>
      </c>
      <c r="H25" s="114">
        <f t="shared" si="14"/>
        <v>107627.34244625281</v>
      </c>
      <c r="I25" s="114">
        <f t="shared" si="15"/>
        <v>1793789.0407708837</v>
      </c>
      <c r="J25" s="114">
        <f t="shared" si="16"/>
        <v>668186.41768715414</v>
      </c>
      <c r="K25" s="114">
        <f t="shared" si="4"/>
        <v>627826.16426980926</v>
      </c>
      <c r="L25" s="114">
        <f t="shared" si="4"/>
        <v>0</v>
      </c>
      <c r="M25" s="114">
        <f t="shared" si="4"/>
        <v>778882.0834926205</v>
      </c>
      <c r="N25" s="114">
        <f t="shared" si="4"/>
        <v>77888.208349262044</v>
      </c>
      <c r="O25" s="114">
        <f t="shared" si="6"/>
        <v>4762509.9032466961</v>
      </c>
      <c r="P25" s="114">
        <f>O25*(1-Summary!J$11)</f>
        <v>4762509.9032466961</v>
      </c>
      <c r="Q25" s="114">
        <f t="shared" si="7"/>
        <v>1036692.0531286778</v>
      </c>
    </row>
    <row r="26" spans="1:17" x14ac:dyDescent="0.25">
      <c r="A26" s="106">
        <v>22</v>
      </c>
      <c r="B26" s="114">
        <f t="shared" si="9"/>
        <v>0.21393294559930637</v>
      </c>
      <c r="C26" s="114">
        <f t="shared" si="10"/>
        <v>1.6531182159946392</v>
      </c>
      <c r="D26" s="114">
        <f t="shared" si="11"/>
        <v>1.9448449599936948</v>
      </c>
      <c r="E26" s="114">
        <f t="shared" si="12"/>
        <v>13.82784766555517</v>
      </c>
      <c r="F26" s="117">
        <f t="shared" si="13"/>
        <v>1.9448449599936948</v>
      </c>
      <c r="G26" s="114">
        <f t="shared" si="2"/>
        <v>1612033.3662147734</v>
      </c>
      <c r="H26" s="114">
        <f t="shared" si="14"/>
        <v>110856.16271964039</v>
      </c>
      <c r="I26" s="114">
        <f t="shared" si="15"/>
        <v>1847602.71199401</v>
      </c>
      <c r="J26" s="114">
        <f t="shared" si="16"/>
        <v>688232.01021776872</v>
      </c>
      <c r="K26" s="114">
        <f t="shared" si="4"/>
        <v>646660.94919790351</v>
      </c>
      <c r="L26" s="114">
        <f t="shared" si="4"/>
        <v>0</v>
      </c>
      <c r="M26" s="114">
        <f t="shared" si="4"/>
        <v>802248.54599739914</v>
      </c>
      <c r="N26" s="114">
        <f t="shared" si="4"/>
        <v>80224.854599739905</v>
      </c>
      <c r="O26" s="114">
        <f t="shared" si="6"/>
        <v>4905385.2003440959</v>
      </c>
      <c r="P26" s="114">
        <f>O26*(1-Summary!J$11)</f>
        <v>4905385.2003440959</v>
      </c>
      <c r="Q26" s="114">
        <f t="shared" si="7"/>
        <v>1067792.8147225382</v>
      </c>
    </row>
    <row r="27" spans="1:17" x14ac:dyDescent="0.25">
      <c r="A27" s="106">
        <v>23</v>
      </c>
      <c r="B27" s="114">
        <f t="shared" si="9"/>
        <v>0.22035093396728556</v>
      </c>
      <c r="C27" s="114">
        <f t="shared" si="10"/>
        <v>1.7027117624744783</v>
      </c>
      <c r="D27" s="114">
        <f t="shared" si="11"/>
        <v>2.0031903087935055</v>
      </c>
      <c r="E27" s="114">
        <f t="shared" si="12"/>
        <v>14.242683095521826</v>
      </c>
      <c r="F27" s="117">
        <f t="shared" si="13"/>
        <v>2.0031903087935055</v>
      </c>
      <c r="G27" s="114">
        <f t="shared" si="2"/>
        <v>1660394.3672012168</v>
      </c>
      <c r="H27" s="114">
        <f t="shared" si="14"/>
        <v>114181.84760122959</v>
      </c>
      <c r="I27" s="114">
        <f t="shared" si="15"/>
        <v>1903030.7933538302</v>
      </c>
      <c r="J27" s="114">
        <f t="shared" si="16"/>
        <v>708878.97052430187</v>
      </c>
      <c r="K27" s="114">
        <f t="shared" si="4"/>
        <v>666060.77767384052</v>
      </c>
      <c r="L27" s="114">
        <f t="shared" si="4"/>
        <v>0</v>
      </c>
      <c r="M27" s="114">
        <f t="shared" si="4"/>
        <v>826316.00237732101</v>
      </c>
      <c r="N27" s="114">
        <f t="shared" si="4"/>
        <v>82631.600237732098</v>
      </c>
      <c r="O27" s="114">
        <f t="shared" si="6"/>
        <v>5052546.7563544186</v>
      </c>
      <c r="P27" s="114">
        <f>O27*(1-Summary!J$11)</f>
        <v>5052546.7563544186</v>
      </c>
      <c r="Q27" s="114">
        <f t="shared" si="7"/>
        <v>1099826.5991642142</v>
      </c>
    </row>
    <row r="28" spans="1:17" x14ac:dyDescent="0.25">
      <c r="A28" s="106">
        <v>24</v>
      </c>
      <c r="B28" s="114">
        <f t="shared" si="9"/>
        <v>0.22696146198630412</v>
      </c>
      <c r="C28" s="114">
        <f t="shared" si="10"/>
        <v>1.7537931153487127</v>
      </c>
      <c r="D28" s="114">
        <f t="shared" si="11"/>
        <v>2.0632860180573105</v>
      </c>
      <c r="E28" s="114">
        <f t="shared" si="12"/>
        <v>14.669963588387482</v>
      </c>
      <c r="F28" s="117">
        <f t="shared" si="13"/>
        <v>2.0632860180573105</v>
      </c>
      <c r="G28" s="114">
        <f t="shared" si="2"/>
        <v>1710206.1982172532</v>
      </c>
      <c r="H28" s="114">
        <f t="shared" si="14"/>
        <v>117607.30302926649</v>
      </c>
      <c r="I28" s="114">
        <f t="shared" si="15"/>
        <v>1960121.7171544449</v>
      </c>
      <c r="J28" s="114">
        <f t="shared" si="16"/>
        <v>730145.33964003099</v>
      </c>
      <c r="K28" s="114">
        <f t="shared" si="4"/>
        <v>686042.6010040557</v>
      </c>
      <c r="L28" s="114">
        <f t="shared" si="4"/>
        <v>0</v>
      </c>
      <c r="M28" s="114">
        <f t="shared" si="4"/>
        <v>851105.48244864063</v>
      </c>
      <c r="N28" s="114">
        <f t="shared" si="4"/>
        <v>85110.548244864054</v>
      </c>
      <c r="O28" s="114">
        <f t="shared" si="6"/>
        <v>5204123.1590450509</v>
      </c>
      <c r="P28" s="114">
        <f>O28*(1-Summary!J$11)</f>
        <v>5204123.1590450509</v>
      </c>
      <c r="Q28" s="114">
        <f t="shared" si="7"/>
        <v>1132821.3971391406</v>
      </c>
    </row>
    <row r="29" spans="1:17" x14ac:dyDescent="0.25">
      <c r="A29" s="106">
        <v>25</v>
      </c>
      <c r="B29" s="114">
        <f t="shared" si="9"/>
        <v>0.23377030584589326</v>
      </c>
      <c r="C29" s="114">
        <f t="shared" si="10"/>
        <v>1.8064069088091741</v>
      </c>
      <c r="D29" s="114">
        <f t="shared" si="11"/>
        <v>2.1251845985990299</v>
      </c>
      <c r="E29" s="114">
        <f t="shared" si="12"/>
        <v>15.110062496039106</v>
      </c>
      <c r="F29" s="117">
        <f t="shared" si="13"/>
        <v>2.1251845985990299</v>
      </c>
      <c r="G29" s="114">
        <f t="shared" si="2"/>
        <v>1761512.3841637708</v>
      </c>
      <c r="H29" s="114">
        <f t="shared" si="14"/>
        <v>121135.52212014448</v>
      </c>
      <c r="I29" s="114">
        <f t="shared" si="15"/>
        <v>2018925.3686690785</v>
      </c>
      <c r="J29" s="114">
        <f t="shared" si="16"/>
        <v>752049.69982923183</v>
      </c>
      <c r="K29" s="114">
        <f t="shared" si="4"/>
        <v>706623.8790341774</v>
      </c>
      <c r="L29" s="114">
        <f t="shared" si="4"/>
        <v>0</v>
      </c>
      <c r="M29" s="114">
        <f t="shared" si="4"/>
        <v>876638.64692209987</v>
      </c>
      <c r="N29" s="114">
        <f t="shared" si="4"/>
        <v>87663.864692209987</v>
      </c>
      <c r="O29" s="114">
        <f t="shared" si="6"/>
        <v>5360246.8538164031</v>
      </c>
      <c r="P29" s="114">
        <f>O29*(1-Summary!J$11)</f>
        <v>5360246.8538164031</v>
      </c>
      <c r="Q29" s="114">
        <f t="shared" si="7"/>
        <v>1166806.0390533148</v>
      </c>
    </row>
    <row r="30" spans="1:17" x14ac:dyDescent="0.25">
      <c r="A30" s="106">
        <v>26</v>
      </c>
      <c r="B30" s="114">
        <f t="shared" si="9"/>
        <v>0.24078341502127007</v>
      </c>
      <c r="C30" s="114">
        <f t="shared" si="10"/>
        <v>1.8605991160734494</v>
      </c>
      <c r="D30" s="114">
        <f t="shared" si="11"/>
        <v>2.1889401365570009</v>
      </c>
      <c r="E30" s="114">
        <f t="shared" si="12"/>
        <v>15.563364370920279</v>
      </c>
      <c r="F30" s="117">
        <f t="shared" si="13"/>
        <v>2.1889401365570009</v>
      </c>
      <c r="G30" s="114">
        <f t="shared" si="2"/>
        <v>1814357.7556886841</v>
      </c>
      <c r="H30" s="114">
        <f t="shared" si="14"/>
        <v>124769.58778374882</v>
      </c>
      <c r="I30" s="114">
        <f t="shared" si="15"/>
        <v>2079493.1297291508</v>
      </c>
      <c r="J30" s="114">
        <f t="shared" si="16"/>
        <v>774611.1908241089</v>
      </c>
      <c r="K30" s="114">
        <f t="shared" si="4"/>
        <v>727822.59540520282</v>
      </c>
      <c r="L30" s="114">
        <f t="shared" si="4"/>
        <v>0</v>
      </c>
      <c r="M30" s="114">
        <f t="shared" si="4"/>
        <v>902937.80632976291</v>
      </c>
      <c r="N30" s="114">
        <f t="shared" si="4"/>
        <v>90293.780632976283</v>
      </c>
      <c r="O30" s="114">
        <f t="shared" si="6"/>
        <v>5521054.2594308946</v>
      </c>
      <c r="P30" s="114">
        <f>O30*(1-Summary!J$11)</f>
        <v>5521054.2594308946</v>
      </c>
      <c r="Q30" s="114">
        <f t="shared" si="7"/>
        <v>1201810.2202249144</v>
      </c>
    </row>
    <row r="31" spans="1:17" x14ac:dyDescent="0.25">
      <c r="A31" s="106">
        <v>27</v>
      </c>
      <c r="B31" s="114">
        <f t="shared" si="9"/>
        <v>0.24800691747190817</v>
      </c>
      <c r="C31" s="114">
        <f t="shared" si="10"/>
        <v>1.9164170895556529</v>
      </c>
      <c r="D31" s="114">
        <f t="shared" si="11"/>
        <v>2.2546083406537112</v>
      </c>
      <c r="E31" s="114">
        <f t="shared" si="12"/>
        <v>16.030265302047887</v>
      </c>
      <c r="F31" s="117">
        <f t="shared" si="13"/>
        <v>2.2546083406537112</v>
      </c>
      <c r="G31" s="114">
        <f t="shared" si="2"/>
        <v>1868788.4883593447</v>
      </c>
      <c r="H31" s="114">
        <f t="shared" si="14"/>
        <v>128512.67541726129</v>
      </c>
      <c r="I31" s="114">
        <f t="shared" si="15"/>
        <v>2141877.9236210254</v>
      </c>
      <c r="J31" s="114">
        <f t="shared" si="16"/>
        <v>797849.52654883207</v>
      </c>
      <c r="K31" s="114">
        <f t="shared" si="4"/>
        <v>749657.27326735901</v>
      </c>
      <c r="L31" s="114">
        <f t="shared" si="4"/>
        <v>0</v>
      </c>
      <c r="M31" s="114">
        <f t="shared" si="4"/>
        <v>930025.94051965582</v>
      </c>
      <c r="N31" s="114">
        <f t="shared" si="4"/>
        <v>93002.594051965585</v>
      </c>
      <c r="O31" s="114">
        <f t="shared" si="6"/>
        <v>5686685.8872138225</v>
      </c>
      <c r="P31" s="114">
        <f>O31*(1-Summary!J$11)</f>
        <v>5686685.8872138225</v>
      </c>
      <c r="Q31" s="114">
        <f t="shared" si="7"/>
        <v>1237864.5268316618</v>
      </c>
    </row>
    <row r="32" spans="1:17" x14ac:dyDescent="0.25">
      <c r="A32" s="106">
        <v>28</v>
      </c>
      <c r="B32" s="114">
        <f t="shared" si="9"/>
        <v>0.25544712499606542</v>
      </c>
      <c r="C32" s="114">
        <f t="shared" si="10"/>
        <v>1.9739096022423226</v>
      </c>
      <c r="D32" s="114">
        <f t="shared" si="11"/>
        <v>2.3222465908733225</v>
      </c>
      <c r="E32" s="114">
        <f t="shared" si="12"/>
        <v>16.511173261109324</v>
      </c>
      <c r="F32" s="117">
        <f t="shared" si="13"/>
        <v>2.3222465908733225</v>
      </c>
      <c r="G32" s="114">
        <f t="shared" si="2"/>
        <v>1924852.143010125</v>
      </c>
      <c r="H32" s="114">
        <f t="shared" si="14"/>
        <v>132368.05567977912</v>
      </c>
      <c r="I32" s="114">
        <f t="shared" si="15"/>
        <v>2206134.2613296565</v>
      </c>
      <c r="J32" s="114">
        <f t="shared" si="16"/>
        <v>821785.01234529703</v>
      </c>
      <c r="K32" s="114">
        <f t="shared" si="4"/>
        <v>772146.99146537972</v>
      </c>
      <c r="L32" s="114">
        <f t="shared" si="4"/>
        <v>0</v>
      </c>
      <c r="M32" s="114">
        <f t="shared" si="4"/>
        <v>957926.71873524552</v>
      </c>
      <c r="N32" s="114">
        <f t="shared" si="4"/>
        <v>95792.671873524552</v>
      </c>
      <c r="O32" s="114">
        <f t="shared" si="6"/>
        <v>5857286.4638302373</v>
      </c>
      <c r="P32" s="114">
        <f>O32*(1-Summary!J$11)</f>
        <v>5857286.4638302373</v>
      </c>
      <c r="Q32" s="114">
        <f t="shared" si="7"/>
        <v>1275000.4626366117</v>
      </c>
    </row>
    <row r="33" spans="1:17" x14ac:dyDescent="0.25">
      <c r="A33" s="106">
        <v>29</v>
      </c>
      <c r="B33" s="114">
        <f t="shared" si="9"/>
        <v>0.26311053874594736</v>
      </c>
      <c r="C33" s="114">
        <f t="shared" si="10"/>
        <v>2.0331268903095925</v>
      </c>
      <c r="D33" s="114">
        <f t="shared" si="11"/>
        <v>2.3919139885995224</v>
      </c>
      <c r="E33" s="114">
        <f t="shared" si="12"/>
        <v>17.006508458942605</v>
      </c>
      <c r="F33" s="117">
        <f t="shared" si="13"/>
        <v>2.3919139885995224</v>
      </c>
      <c r="G33" s="114">
        <f t="shared" si="2"/>
        <v>1982597.7073004285</v>
      </c>
      <c r="H33" s="114">
        <f t="shared" si="14"/>
        <v>136339.09735017252</v>
      </c>
      <c r="I33" s="114">
        <f t="shared" si="15"/>
        <v>2272318.2891695462</v>
      </c>
      <c r="J33" s="114">
        <f t="shared" si="16"/>
        <v>846438.56271565601</v>
      </c>
      <c r="K33" s="114">
        <f t="shared" si="4"/>
        <v>795311.40120934125</v>
      </c>
      <c r="L33" s="114">
        <f t="shared" si="4"/>
        <v>0</v>
      </c>
      <c r="M33" s="114">
        <f t="shared" si="4"/>
        <v>986664.52029730298</v>
      </c>
      <c r="N33" s="114">
        <f t="shared" si="4"/>
        <v>98666.452029730295</v>
      </c>
      <c r="O33" s="114">
        <f t="shared" si="6"/>
        <v>6033005.0577451447</v>
      </c>
      <c r="P33" s="114">
        <f>O33*(1-Summary!J$11)</f>
        <v>6033005.0577451447</v>
      </c>
      <c r="Q33" s="114">
        <f t="shared" si="7"/>
        <v>1313250.4765157104</v>
      </c>
    </row>
    <row r="34" spans="1:17" x14ac:dyDescent="0.25">
      <c r="A34" s="106">
        <v>30</v>
      </c>
      <c r="B34" s="114">
        <f t="shared" si="9"/>
        <v>0.27100385490832579</v>
      </c>
      <c r="C34" s="114">
        <f t="shared" si="10"/>
        <v>2.0941206970188802</v>
      </c>
      <c r="D34" s="114">
        <f t="shared" si="11"/>
        <v>2.463671408257508</v>
      </c>
      <c r="E34" s="114">
        <f t="shared" si="12"/>
        <v>17.516703712710882</v>
      </c>
      <c r="F34" s="117">
        <f t="shared" si="13"/>
        <v>2.463671408257508</v>
      </c>
      <c r="G34" s="114">
        <f t="shared" si="2"/>
        <v>2042075.6385194415</v>
      </c>
      <c r="H34" s="114">
        <f t="shared" si="14"/>
        <v>140429.27027067769</v>
      </c>
      <c r="I34" s="114">
        <f t="shared" si="15"/>
        <v>2340487.8378446326</v>
      </c>
      <c r="J34" s="114">
        <f t="shared" si="16"/>
        <v>871831.71959712566</v>
      </c>
      <c r="K34" s="114">
        <f t="shared" si="4"/>
        <v>819170.74324562144</v>
      </c>
      <c r="L34" s="114">
        <f t="shared" si="4"/>
        <v>0</v>
      </c>
      <c r="M34" s="114">
        <f t="shared" si="4"/>
        <v>1016264.455906222</v>
      </c>
      <c r="N34" s="114">
        <f t="shared" si="4"/>
        <v>101626.4455906222</v>
      </c>
      <c r="O34" s="114">
        <f t="shared" si="6"/>
        <v>6213995.2094774982</v>
      </c>
      <c r="P34" s="114">
        <f>O34*(1-Summary!J$11)</f>
        <v>6213995.2094774982</v>
      </c>
      <c r="Q34" s="114">
        <f t="shared" si="7"/>
        <v>1352647.9908111813</v>
      </c>
    </row>
  </sheetData>
  <mergeCells count="1">
    <mergeCell ref="B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459"/>
  <sheetViews>
    <sheetView workbookViewId="0">
      <selection activeCell="D19" sqref="D19"/>
    </sheetView>
  </sheetViews>
  <sheetFormatPr defaultColWidth="8.85546875" defaultRowHeight="15" x14ac:dyDescent="0.25"/>
  <cols>
    <col min="1" max="2" width="8.85546875" style="119"/>
    <col min="3" max="3" width="19" style="119" bestFit="1" customWidth="1"/>
    <col min="4" max="4" width="15.28515625" style="119" bestFit="1" customWidth="1"/>
    <col min="5" max="5" width="28" style="119" bestFit="1" customWidth="1"/>
    <col min="6" max="6" width="17.42578125" style="119" bestFit="1" customWidth="1"/>
    <col min="7" max="7" width="12.28515625" style="119" bestFit="1" customWidth="1"/>
    <col min="8" max="8" width="15.42578125" style="119" bestFit="1" customWidth="1"/>
    <col min="9" max="16384" width="8.85546875" style="119"/>
  </cols>
  <sheetData>
    <row r="1" spans="1:8" x14ac:dyDescent="0.25">
      <c r="C1" s="165" t="s">
        <v>0</v>
      </c>
      <c r="D1" s="165"/>
      <c r="E1" s="165"/>
      <c r="F1" s="165"/>
      <c r="G1" s="165"/>
      <c r="H1" s="165"/>
    </row>
    <row r="2" spans="1:8" x14ac:dyDescent="0.25">
      <c r="C2" s="119" t="s">
        <v>1</v>
      </c>
      <c r="D2" s="119" t="s">
        <v>2</v>
      </c>
      <c r="E2" s="119" t="s">
        <v>3</v>
      </c>
      <c r="F2" s="119" t="s">
        <v>4</v>
      </c>
    </row>
    <row r="3" spans="1:8" x14ac:dyDescent="0.25">
      <c r="C3" s="120">
        <f>(COUNTIF(H40:H459,"&gt;"&amp;"0")+8)/12</f>
        <v>20</v>
      </c>
      <c r="D3" s="121">
        <f>SUMIF(B40:B459,"&lt;"&amp;(1+C3),D40:D459)+SUMIF(A40:A459,"="&amp;C3,H40:H459)</f>
        <v>67330545.813119844</v>
      </c>
      <c r="E3" s="121">
        <f>SUMIF(B40:B459,"&lt;"&amp;(1+C3),E40:E459)</f>
        <v>15423359.958455905</v>
      </c>
      <c r="F3" s="122">
        <f>D3-E3-D6</f>
        <v>18632185.854663938</v>
      </c>
      <c r="G3" s="122"/>
      <c r="H3" s="122"/>
    </row>
    <row r="6" spans="1:8" ht="15.75" thickBot="1" x14ac:dyDescent="0.3">
      <c r="C6" s="123">
        <f>Summary!J6</f>
        <v>0.04</v>
      </c>
      <c r="D6" s="121">
        <f>Calculations!R28+(Summary!J4*(1+Summary!J9))-Summary!J5</f>
        <v>33275000</v>
      </c>
      <c r="E6" s="124">
        <v>42583</v>
      </c>
      <c r="F6" s="125">
        <f>Summary!J7</f>
        <v>18</v>
      </c>
      <c r="G6" s="123"/>
    </row>
    <row r="7" spans="1:8" ht="15.75" thickBot="1" x14ac:dyDescent="0.3">
      <c r="D7" s="166" t="s">
        <v>6</v>
      </c>
      <c r="E7" s="167"/>
      <c r="F7" s="167"/>
      <c r="G7" s="167"/>
      <c r="H7" s="168"/>
    </row>
    <row r="8" spans="1:8" ht="15.75" thickBot="1" x14ac:dyDescent="0.3">
      <c r="A8" s="119" t="s">
        <v>7</v>
      </c>
      <c r="D8" s="126" t="s">
        <v>8</v>
      </c>
      <c r="E8" s="127" t="s">
        <v>9</v>
      </c>
      <c r="F8" s="128" t="s">
        <v>10</v>
      </c>
      <c r="G8" s="127" t="s">
        <v>11</v>
      </c>
      <c r="H8" s="129" t="s">
        <v>5</v>
      </c>
    </row>
    <row r="9" spans="1:8" ht="15.75" thickBot="1" x14ac:dyDescent="0.3">
      <c r="A9" s="119" t="s">
        <v>12</v>
      </c>
      <c r="B9" s="119">
        <v>0</v>
      </c>
      <c r="D9" s="130">
        <v>0</v>
      </c>
      <c r="E9" s="131">
        <v>0</v>
      </c>
      <c r="F9" s="131">
        <v>0</v>
      </c>
      <c r="G9" s="131"/>
      <c r="H9" s="132">
        <f>IF(A9=Summary!J$7,D$6,IF(A9&lt;Summary!J$7,H8+G9,0))</f>
        <v>0</v>
      </c>
    </row>
    <row r="10" spans="1:8" ht="15.75" thickBot="1" x14ac:dyDescent="0.3">
      <c r="A10" s="119">
        <v>30</v>
      </c>
      <c r="B10" s="119">
        <v>0</v>
      </c>
      <c r="C10" s="124">
        <v>42583</v>
      </c>
      <c r="D10" s="133">
        <v>0</v>
      </c>
      <c r="E10" s="134">
        <v>0</v>
      </c>
      <c r="F10" s="134">
        <v>0</v>
      </c>
      <c r="G10" s="134">
        <f t="shared" ref="G10:G73" si="0">H9*(C$6/12)</f>
        <v>0</v>
      </c>
      <c r="H10" s="132">
        <f>IF(A10=Summary!J$7,D$6,IF(A10&lt;Summary!J$7,H9+G10,0))</f>
        <v>0</v>
      </c>
    </row>
    <row r="11" spans="1:8" ht="15.75" thickBot="1" x14ac:dyDescent="0.3">
      <c r="A11" s="119">
        <v>29</v>
      </c>
      <c r="B11" s="119">
        <v>0</v>
      </c>
      <c r="C11" s="124">
        <v>42614</v>
      </c>
      <c r="D11" s="133">
        <v>0</v>
      </c>
      <c r="E11" s="134">
        <v>0</v>
      </c>
      <c r="F11" s="134">
        <v>0</v>
      </c>
      <c r="G11" s="134">
        <f t="shared" si="0"/>
        <v>0</v>
      </c>
      <c r="H11" s="132">
        <f>IF(A11=Summary!J$7,D$6,IF(A11&lt;Summary!J$7,H10+G11,0))</f>
        <v>0</v>
      </c>
    </row>
    <row r="12" spans="1:8" ht="15.75" thickBot="1" x14ac:dyDescent="0.3">
      <c r="A12" s="119">
        <v>28</v>
      </c>
      <c r="B12" s="119">
        <v>0</v>
      </c>
      <c r="C12" s="124">
        <v>42644</v>
      </c>
      <c r="D12" s="133">
        <v>0</v>
      </c>
      <c r="E12" s="134">
        <v>0</v>
      </c>
      <c r="F12" s="134">
        <v>0</v>
      </c>
      <c r="G12" s="134">
        <f t="shared" si="0"/>
        <v>0</v>
      </c>
      <c r="H12" s="132">
        <f>IF(A12=Summary!J$7,D$6,IF(A12&lt;Summary!J$7,H11+G12,0))</f>
        <v>0</v>
      </c>
    </row>
    <row r="13" spans="1:8" ht="15.75" thickBot="1" x14ac:dyDescent="0.3">
      <c r="A13" s="119">
        <v>27</v>
      </c>
      <c r="B13" s="119">
        <v>0</v>
      </c>
      <c r="C13" s="124">
        <v>42675</v>
      </c>
      <c r="D13" s="133">
        <v>0</v>
      </c>
      <c r="E13" s="134">
        <v>0</v>
      </c>
      <c r="F13" s="134">
        <v>0</v>
      </c>
      <c r="G13" s="134">
        <f t="shared" si="0"/>
        <v>0</v>
      </c>
      <c r="H13" s="132">
        <f>IF(A13=Summary!J$7,D$6,IF(A13&lt;Summary!J$7,H12+G13,0))</f>
        <v>0</v>
      </c>
    </row>
    <row r="14" spans="1:8" ht="15.75" thickBot="1" x14ac:dyDescent="0.3">
      <c r="A14" s="119">
        <v>26</v>
      </c>
      <c r="B14" s="119">
        <v>0</v>
      </c>
      <c r="C14" s="124">
        <v>42705</v>
      </c>
      <c r="D14" s="133">
        <v>0</v>
      </c>
      <c r="E14" s="134">
        <v>0</v>
      </c>
      <c r="F14" s="134">
        <v>0</v>
      </c>
      <c r="G14" s="134">
        <f t="shared" si="0"/>
        <v>0</v>
      </c>
      <c r="H14" s="132">
        <f>IF(A14=Summary!J$7,D$6,IF(A14&lt;Summary!J$7,H13+G14,0))</f>
        <v>0</v>
      </c>
    </row>
    <row r="15" spans="1:8" ht="15.75" thickBot="1" x14ac:dyDescent="0.3">
      <c r="A15" s="119">
        <v>25</v>
      </c>
      <c r="B15" s="119">
        <v>0</v>
      </c>
      <c r="C15" s="124">
        <v>42736</v>
      </c>
      <c r="D15" s="133">
        <v>0</v>
      </c>
      <c r="E15" s="134">
        <v>0</v>
      </c>
      <c r="F15" s="134">
        <v>0</v>
      </c>
      <c r="G15" s="134">
        <f t="shared" si="0"/>
        <v>0</v>
      </c>
      <c r="H15" s="132">
        <f>IF(A15=Summary!J$7,D$6,IF(A15&lt;Summary!J$7,H14+G15,0))</f>
        <v>0</v>
      </c>
    </row>
    <row r="16" spans="1:8" ht="15.75" thickBot="1" x14ac:dyDescent="0.3">
      <c r="A16" s="119">
        <v>24</v>
      </c>
      <c r="B16" s="119">
        <v>0</v>
      </c>
      <c r="C16" s="124">
        <v>42767</v>
      </c>
      <c r="D16" s="133">
        <v>0</v>
      </c>
      <c r="E16" s="134">
        <v>0</v>
      </c>
      <c r="F16" s="134">
        <v>0</v>
      </c>
      <c r="G16" s="134">
        <f t="shared" si="0"/>
        <v>0</v>
      </c>
      <c r="H16" s="132">
        <f>IF(A16=Summary!J$7,D$6,IF(A16&lt;Summary!J$7,H15+G16,0))</f>
        <v>0</v>
      </c>
    </row>
    <row r="17" spans="1:8" ht="15.75" thickBot="1" x14ac:dyDescent="0.3">
      <c r="A17" s="119">
        <v>23</v>
      </c>
      <c r="B17" s="119">
        <v>0</v>
      </c>
      <c r="C17" s="124">
        <v>42795</v>
      </c>
      <c r="D17" s="133">
        <v>0</v>
      </c>
      <c r="E17" s="134">
        <v>0</v>
      </c>
      <c r="F17" s="134">
        <v>0</v>
      </c>
      <c r="G17" s="134">
        <f t="shared" si="0"/>
        <v>0</v>
      </c>
      <c r="H17" s="132">
        <f>IF(A17=Summary!J$7,D$6,IF(A17&lt;Summary!J$7,H16+G17,0))</f>
        <v>0</v>
      </c>
    </row>
    <row r="18" spans="1:8" ht="15.75" thickBot="1" x14ac:dyDescent="0.3">
      <c r="A18" s="119">
        <v>22</v>
      </c>
      <c r="B18" s="119">
        <v>0</v>
      </c>
      <c r="C18" s="124">
        <v>42826</v>
      </c>
      <c r="D18" s="133">
        <v>0</v>
      </c>
      <c r="E18" s="134">
        <v>0</v>
      </c>
      <c r="F18" s="134">
        <v>0</v>
      </c>
      <c r="G18" s="134">
        <f t="shared" si="0"/>
        <v>0</v>
      </c>
      <c r="H18" s="132">
        <f>IF(A18=Summary!J$7,D$6,IF(A18&lt;Summary!J$7,H17+G18,0))</f>
        <v>0</v>
      </c>
    </row>
    <row r="19" spans="1:8" ht="15.75" thickBot="1" x14ac:dyDescent="0.3">
      <c r="A19" s="119">
        <v>21</v>
      </c>
      <c r="B19" s="119">
        <v>0</v>
      </c>
      <c r="C19" s="124">
        <v>42856</v>
      </c>
      <c r="D19" s="133">
        <v>0</v>
      </c>
      <c r="E19" s="134">
        <v>0</v>
      </c>
      <c r="F19" s="134">
        <v>0</v>
      </c>
      <c r="G19" s="134">
        <f t="shared" si="0"/>
        <v>0</v>
      </c>
      <c r="H19" s="132">
        <f>IF(A19=Summary!J$7,D$6,IF(A19&lt;Summary!J$7,H18+G19,0))</f>
        <v>0</v>
      </c>
    </row>
    <row r="20" spans="1:8" ht="15.75" thickBot="1" x14ac:dyDescent="0.3">
      <c r="A20" s="119">
        <v>20</v>
      </c>
      <c r="B20" s="119">
        <v>0</v>
      </c>
      <c r="C20" s="124">
        <v>42887</v>
      </c>
      <c r="D20" s="133">
        <v>0</v>
      </c>
      <c r="E20" s="134">
        <v>0</v>
      </c>
      <c r="F20" s="134">
        <v>0</v>
      </c>
      <c r="G20" s="134">
        <f t="shared" si="0"/>
        <v>0</v>
      </c>
      <c r="H20" s="132">
        <f>IF(A20=Summary!J$7,D$6,IF(A20&lt;Summary!J$7,H19+G20,0))</f>
        <v>0</v>
      </c>
    </row>
    <row r="21" spans="1:8" ht="15.75" thickBot="1" x14ac:dyDescent="0.3">
      <c r="A21" s="119">
        <v>19</v>
      </c>
      <c r="B21" s="119">
        <v>0</v>
      </c>
      <c r="C21" s="124">
        <v>42917</v>
      </c>
      <c r="D21" s="133">
        <v>0</v>
      </c>
      <c r="E21" s="134">
        <v>0</v>
      </c>
      <c r="F21" s="134">
        <v>0</v>
      </c>
      <c r="G21" s="134">
        <f t="shared" si="0"/>
        <v>0</v>
      </c>
      <c r="H21" s="132">
        <f>IF(A21=Summary!J$7,D$6,IF(A21&lt;Summary!J$7,H20+G21,0))</f>
        <v>0</v>
      </c>
    </row>
    <row r="22" spans="1:8" ht="15.75" thickBot="1" x14ac:dyDescent="0.3">
      <c r="A22" s="119">
        <v>18</v>
      </c>
      <c r="B22" s="119">
        <v>0</v>
      </c>
      <c r="C22" s="124">
        <v>42948</v>
      </c>
      <c r="D22" s="133">
        <v>0</v>
      </c>
      <c r="E22" s="134">
        <v>0</v>
      </c>
      <c r="F22" s="134">
        <v>0</v>
      </c>
      <c r="G22" s="134">
        <f t="shared" si="0"/>
        <v>0</v>
      </c>
      <c r="H22" s="132">
        <f>IF(A22=Summary!J$7,D$6,IF(A22&lt;Summary!J$7,H21+G22,0))</f>
        <v>33275000</v>
      </c>
    </row>
    <row r="23" spans="1:8" ht="15.75" thickBot="1" x14ac:dyDescent="0.3">
      <c r="A23" s="119">
        <v>17</v>
      </c>
      <c r="B23" s="119">
        <v>0</v>
      </c>
      <c r="C23" s="124">
        <v>42979</v>
      </c>
      <c r="D23" s="133">
        <v>0</v>
      </c>
      <c r="E23" s="134">
        <v>0</v>
      </c>
      <c r="F23" s="134">
        <v>0</v>
      </c>
      <c r="G23" s="134">
        <f t="shared" si="0"/>
        <v>110916.66666666667</v>
      </c>
      <c r="H23" s="132">
        <f>IF(A23=Summary!J$7,D$6,IF(A23&lt;Summary!J$7,H22+G23,0))</f>
        <v>33385916.666666668</v>
      </c>
    </row>
    <row r="24" spans="1:8" ht="15.75" thickBot="1" x14ac:dyDescent="0.3">
      <c r="A24" s="119">
        <v>16</v>
      </c>
      <c r="B24" s="119">
        <v>0</v>
      </c>
      <c r="C24" s="124">
        <v>43009</v>
      </c>
      <c r="D24" s="133">
        <v>0</v>
      </c>
      <c r="E24" s="134">
        <v>0</v>
      </c>
      <c r="F24" s="134">
        <v>0</v>
      </c>
      <c r="G24" s="134">
        <f t="shared" si="0"/>
        <v>111286.38888888891</v>
      </c>
      <c r="H24" s="132">
        <f>IF(A24=Summary!J$7,D$6,IF(A24&lt;Summary!J$7,H23+G24,0))</f>
        <v>33497203.055555556</v>
      </c>
    </row>
    <row r="25" spans="1:8" ht="15.75" thickBot="1" x14ac:dyDescent="0.3">
      <c r="A25" s="119">
        <v>15</v>
      </c>
      <c r="B25" s="119">
        <v>0</v>
      </c>
      <c r="C25" s="124">
        <v>43040</v>
      </c>
      <c r="D25" s="133">
        <v>0</v>
      </c>
      <c r="E25" s="134">
        <v>0</v>
      </c>
      <c r="F25" s="134">
        <v>0</v>
      </c>
      <c r="G25" s="134">
        <f t="shared" si="0"/>
        <v>111657.34351851852</v>
      </c>
      <c r="H25" s="132">
        <f>IF(A25=Summary!J$7,D$6,IF(A25&lt;Summary!J$7,H24+G25,0))</f>
        <v>33608860.399074078</v>
      </c>
    </row>
    <row r="26" spans="1:8" ht="15.75" thickBot="1" x14ac:dyDescent="0.3">
      <c r="A26" s="119">
        <v>14</v>
      </c>
      <c r="B26" s="119">
        <v>0</v>
      </c>
      <c r="C26" s="124">
        <v>43070</v>
      </c>
      <c r="D26" s="133">
        <v>0</v>
      </c>
      <c r="E26" s="134">
        <v>0</v>
      </c>
      <c r="F26" s="134">
        <v>0</v>
      </c>
      <c r="G26" s="134">
        <f t="shared" si="0"/>
        <v>112029.53466358027</v>
      </c>
      <c r="H26" s="132">
        <f>IF(A26=Summary!J$7,D$6,IF(A26&lt;Summary!J$7,H25+G26,0))</f>
        <v>33720889.933737658</v>
      </c>
    </row>
    <row r="27" spans="1:8" ht="15.75" thickBot="1" x14ac:dyDescent="0.3">
      <c r="A27" s="119">
        <v>13</v>
      </c>
      <c r="B27" s="119">
        <v>0</v>
      </c>
      <c r="C27" s="124">
        <v>43101</v>
      </c>
      <c r="D27" s="133">
        <v>0</v>
      </c>
      <c r="E27" s="134">
        <v>0</v>
      </c>
      <c r="F27" s="134">
        <v>0</v>
      </c>
      <c r="G27" s="134">
        <f t="shared" si="0"/>
        <v>112402.9664457922</v>
      </c>
      <c r="H27" s="132">
        <f>IF(A27=Summary!J$7,D$6,IF(A27&lt;Summary!J$7,H26+G27,0))</f>
        <v>33833292.900183447</v>
      </c>
    </row>
    <row r="28" spans="1:8" ht="15.75" thickBot="1" x14ac:dyDescent="0.3">
      <c r="A28" s="119">
        <v>12</v>
      </c>
      <c r="B28" s="119">
        <v>0</v>
      </c>
      <c r="C28" s="124">
        <v>43132</v>
      </c>
      <c r="D28" s="133">
        <v>0</v>
      </c>
      <c r="E28" s="134">
        <v>0</v>
      </c>
      <c r="F28" s="134">
        <v>0</v>
      </c>
      <c r="G28" s="134">
        <f t="shared" si="0"/>
        <v>112777.6430006115</v>
      </c>
      <c r="H28" s="132">
        <f>IF(A28=Summary!J$7,D$6,IF(A28&lt;Summary!J$7,H27+G28,0))</f>
        <v>33946070.543184057</v>
      </c>
    </row>
    <row r="29" spans="1:8" ht="15.75" thickBot="1" x14ac:dyDescent="0.3">
      <c r="A29" s="119">
        <v>11</v>
      </c>
      <c r="B29" s="119">
        <v>0</v>
      </c>
      <c r="C29" s="124">
        <v>43160</v>
      </c>
      <c r="D29" s="133">
        <v>0</v>
      </c>
      <c r="E29" s="134">
        <v>0</v>
      </c>
      <c r="F29" s="134">
        <v>0</v>
      </c>
      <c r="G29" s="134">
        <f t="shared" si="0"/>
        <v>113153.56847728019</v>
      </c>
      <c r="H29" s="132">
        <f>IF(A29=Summary!J$7,D$6,IF(A29&lt;Summary!J$7,H28+G29,0))</f>
        <v>34059224.111661337</v>
      </c>
    </row>
    <row r="30" spans="1:8" ht="15.75" thickBot="1" x14ac:dyDescent="0.3">
      <c r="A30" s="119">
        <v>10</v>
      </c>
      <c r="B30" s="119">
        <v>0</v>
      </c>
      <c r="C30" s="124">
        <v>43191</v>
      </c>
      <c r="D30" s="133">
        <v>0</v>
      </c>
      <c r="E30" s="134">
        <v>0</v>
      </c>
      <c r="F30" s="134">
        <v>0</v>
      </c>
      <c r="G30" s="134">
        <f t="shared" si="0"/>
        <v>113530.74703887114</v>
      </c>
      <c r="H30" s="132">
        <f>IF(A30=Summary!J$7,D$6,IF(A30&lt;Summary!J$7,H29+G30,0))</f>
        <v>34172754.858700208</v>
      </c>
    </row>
    <row r="31" spans="1:8" ht="15.75" thickBot="1" x14ac:dyDescent="0.3">
      <c r="A31" s="119">
        <v>9</v>
      </c>
      <c r="B31" s="119">
        <v>0</v>
      </c>
      <c r="C31" s="124">
        <v>43221</v>
      </c>
      <c r="D31" s="133">
        <v>0</v>
      </c>
      <c r="E31" s="134">
        <v>0</v>
      </c>
      <c r="F31" s="134">
        <v>0</v>
      </c>
      <c r="G31" s="134">
        <f t="shared" si="0"/>
        <v>113909.18286233404</v>
      </c>
      <c r="H31" s="132">
        <f>IF(A31=Summary!J$7,D$6,IF(A31&lt;Summary!J$7,H30+G31,0))</f>
        <v>34286664.041562542</v>
      </c>
    </row>
    <row r="32" spans="1:8" ht="15.75" thickBot="1" x14ac:dyDescent="0.3">
      <c r="A32" s="119">
        <v>8</v>
      </c>
      <c r="B32" s="119">
        <v>0</v>
      </c>
      <c r="C32" s="124">
        <v>43252</v>
      </c>
      <c r="D32" s="133">
        <v>0</v>
      </c>
      <c r="E32" s="134">
        <v>0</v>
      </c>
      <c r="F32" s="134">
        <v>0</v>
      </c>
      <c r="G32" s="134">
        <f t="shared" si="0"/>
        <v>114288.88013854182</v>
      </c>
      <c r="H32" s="132">
        <f>IF(A32=Summary!J$7,D$6,IF(A32&lt;Summary!J$7,H31+G32,0))</f>
        <v>34400952.921701081</v>
      </c>
    </row>
    <row r="33" spans="1:8" ht="15.75" thickBot="1" x14ac:dyDescent="0.3">
      <c r="A33" s="119">
        <v>7</v>
      </c>
      <c r="B33" s="119">
        <v>0</v>
      </c>
      <c r="C33" s="124">
        <v>43282</v>
      </c>
      <c r="D33" s="133">
        <v>0</v>
      </c>
      <c r="E33" s="134">
        <v>0</v>
      </c>
      <c r="F33" s="134">
        <v>0</v>
      </c>
      <c r="G33" s="134">
        <f t="shared" si="0"/>
        <v>114669.84307233694</v>
      </c>
      <c r="H33" s="132">
        <f>IF(A33=Summary!J$7,D$6,IF(A33&lt;Summary!J$7,H32+G33,0))</f>
        <v>34515622.764773421</v>
      </c>
    </row>
    <row r="34" spans="1:8" ht="15.75" thickBot="1" x14ac:dyDescent="0.3">
      <c r="A34" s="119">
        <v>6</v>
      </c>
      <c r="B34" s="119">
        <v>0</v>
      </c>
      <c r="C34" s="124">
        <v>43313</v>
      </c>
      <c r="D34" s="133">
        <v>0</v>
      </c>
      <c r="E34" s="134">
        <v>0</v>
      </c>
      <c r="F34" s="134">
        <v>0</v>
      </c>
      <c r="G34" s="134">
        <f t="shared" si="0"/>
        <v>115052.07588257808</v>
      </c>
      <c r="H34" s="132">
        <f>IF(A34=Summary!J$7,D$6,IF(A34&lt;Summary!J$7,H33+G34,0))</f>
        <v>34630674.840655997</v>
      </c>
    </row>
    <row r="35" spans="1:8" ht="15.75" thickBot="1" x14ac:dyDescent="0.3">
      <c r="A35" s="119">
        <v>5</v>
      </c>
      <c r="B35" s="119">
        <v>0</v>
      </c>
      <c r="C35" s="124">
        <v>43344</v>
      </c>
      <c r="D35" s="133">
        <v>0</v>
      </c>
      <c r="E35" s="134">
        <v>0</v>
      </c>
      <c r="F35" s="134">
        <v>0</v>
      </c>
      <c r="G35" s="134">
        <f t="shared" si="0"/>
        <v>115435.58280218666</v>
      </c>
      <c r="H35" s="132">
        <f>IF(A35=Summary!J$7,D$6,IF(A35&lt;Summary!J$7,H34+G35,0))</f>
        <v>34746110.423458181</v>
      </c>
    </row>
    <row r="36" spans="1:8" ht="15.75" thickBot="1" x14ac:dyDescent="0.3">
      <c r="A36" s="119">
        <v>4</v>
      </c>
      <c r="B36" s="119">
        <v>0</v>
      </c>
      <c r="C36" s="124">
        <v>43374</v>
      </c>
      <c r="D36" s="133">
        <v>0</v>
      </c>
      <c r="E36" s="134">
        <v>0</v>
      </c>
      <c r="F36" s="134">
        <v>0</v>
      </c>
      <c r="G36" s="134">
        <f t="shared" si="0"/>
        <v>115820.36807819395</v>
      </c>
      <c r="H36" s="132">
        <f>IF(A36=Summary!J$7,D$6,IF(A36&lt;Summary!J$7,H35+G36,0))</f>
        <v>34861930.791536376</v>
      </c>
    </row>
    <row r="37" spans="1:8" ht="15.75" thickBot="1" x14ac:dyDescent="0.3">
      <c r="A37" s="119">
        <v>3</v>
      </c>
      <c r="B37" s="119">
        <v>0</v>
      </c>
      <c r="C37" s="124">
        <v>43405</v>
      </c>
      <c r="D37" s="133">
        <v>0</v>
      </c>
      <c r="E37" s="134">
        <v>0</v>
      </c>
      <c r="F37" s="134">
        <v>0</v>
      </c>
      <c r="G37" s="134">
        <f t="shared" si="0"/>
        <v>116206.43597178793</v>
      </c>
      <c r="H37" s="132">
        <f>IF(A37=Summary!J$7,D$6,IF(A37&lt;Summary!J$7,H36+G37,0))</f>
        <v>34978137.227508165</v>
      </c>
    </row>
    <row r="38" spans="1:8" ht="15.75" thickBot="1" x14ac:dyDescent="0.3">
      <c r="A38" s="119">
        <v>2</v>
      </c>
      <c r="B38" s="119">
        <v>0</v>
      </c>
      <c r="C38" s="124">
        <v>43435</v>
      </c>
      <c r="D38" s="133">
        <v>0</v>
      </c>
      <c r="E38" s="134">
        <v>0</v>
      </c>
      <c r="F38" s="134">
        <v>0</v>
      </c>
      <c r="G38" s="134">
        <f t="shared" si="0"/>
        <v>116593.79075836056</v>
      </c>
      <c r="H38" s="132">
        <f>IF(A38=Summary!J$7,D$6,IF(A38&lt;Summary!J$7,H37+G38,0))</f>
        <v>35094731.018266529</v>
      </c>
    </row>
    <row r="39" spans="1:8" x14ac:dyDescent="0.25">
      <c r="A39" s="119">
        <v>1</v>
      </c>
      <c r="B39" s="119">
        <v>0</v>
      </c>
      <c r="C39" s="124">
        <v>43466</v>
      </c>
      <c r="D39" s="133">
        <v>0</v>
      </c>
      <c r="E39" s="134">
        <v>0</v>
      </c>
      <c r="F39" s="134">
        <v>0</v>
      </c>
      <c r="G39" s="134">
        <f t="shared" si="0"/>
        <v>116982.4367275551</v>
      </c>
      <c r="H39" s="132">
        <f>IF(A39=Summary!J$7,D$6,IF(A39&lt;Summary!J$7,H38+G39,0))</f>
        <v>35211713.454994082</v>
      </c>
    </row>
    <row r="40" spans="1:8" x14ac:dyDescent="0.25">
      <c r="A40" s="135" t="s">
        <v>13</v>
      </c>
      <c r="B40" s="119">
        <v>1</v>
      </c>
      <c r="C40" s="124">
        <v>43497</v>
      </c>
      <c r="D40" s="133">
        <f>SUMIF('Payment Buildup'!A$4:A$34,"="&amp;'Payment Schedule'!A40,'Payment Buildup'!P$4:P$34)+Summary!J5</f>
        <v>0</v>
      </c>
      <c r="E40" s="134">
        <f>SUMIF('Payment Buildup'!A$4:A$34,"="&amp;'Payment Schedule'!A40,'Payment Buildup'!Q$4:Q$34)</f>
        <v>0</v>
      </c>
      <c r="F40" s="134">
        <f t="shared" ref="F40:F103" si="1">D40-E40</f>
        <v>0</v>
      </c>
      <c r="G40" s="134">
        <f t="shared" si="0"/>
        <v>117372.37818331362</v>
      </c>
      <c r="H40" s="136">
        <f t="shared" ref="H40:H103" si="2">H39+G40-F40</f>
        <v>35329085.833177395</v>
      </c>
    </row>
    <row r="41" spans="1:8" x14ac:dyDescent="0.25">
      <c r="A41" s="135"/>
      <c r="B41" s="119">
        <v>1</v>
      </c>
      <c r="C41" s="124">
        <v>43525</v>
      </c>
      <c r="D41" s="133">
        <f>SUMIF('Payment Buildup'!A$4:A$34,"="&amp;'Payment Schedule'!A41,'Payment Buildup'!P$4:P$34)</f>
        <v>0</v>
      </c>
      <c r="E41" s="134">
        <f>SUMIF('Payment Buildup'!A$4:A$34,"="&amp;'Payment Schedule'!A41,'Payment Buildup'!Q$4:Q$34)</f>
        <v>0</v>
      </c>
      <c r="F41" s="134">
        <f t="shared" si="1"/>
        <v>0</v>
      </c>
      <c r="G41" s="134">
        <f t="shared" si="0"/>
        <v>117763.61944392466</v>
      </c>
      <c r="H41" s="136">
        <f t="shared" si="2"/>
        <v>35446849.452621318</v>
      </c>
    </row>
    <row r="42" spans="1:8" x14ac:dyDescent="0.25">
      <c r="B42" s="119">
        <v>1</v>
      </c>
      <c r="C42" s="124">
        <v>43556</v>
      </c>
      <c r="D42" s="133">
        <f>SUMIF('Payment Buildup'!A$4:A$34,"="&amp;'Payment Schedule'!A42,'Payment Buildup'!P$4:P$34)</f>
        <v>0</v>
      </c>
      <c r="E42" s="134">
        <f>SUMIF('Payment Buildup'!A$4:A$34,"="&amp;'Payment Schedule'!A42,'Payment Buildup'!Q$4:Q$34)</f>
        <v>0</v>
      </c>
      <c r="F42" s="134">
        <f t="shared" si="1"/>
        <v>0</v>
      </c>
      <c r="G42" s="134">
        <f t="shared" si="0"/>
        <v>118156.16484207107</v>
      </c>
      <c r="H42" s="136">
        <f t="shared" si="2"/>
        <v>35565005.617463388</v>
      </c>
    </row>
    <row r="43" spans="1:8" x14ac:dyDescent="0.25">
      <c r="B43" s="119">
        <v>1</v>
      </c>
      <c r="C43" s="124">
        <v>43586</v>
      </c>
      <c r="D43" s="133">
        <f>SUMIF('Payment Buildup'!A$4:A$34,"="&amp;'Payment Schedule'!A43,'Payment Buildup'!P$4:P$34)</f>
        <v>0</v>
      </c>
      <c r="E43" s="134">
        <f>SUMIF('Payment Buildup'!A$4:A$34,"="&amp;'Payment Schedule'!A43,'Payment Buildup'!Q$4:Q$34)</f>
        <v>0</v>
      </c>
      <c r="F43" s="134">
        <f t="shared" si="1"/>
        <v>0</v>
      </c>
      <c r="G43" s="134">
        <f t="shared" si="0"/>
        <v>118550.01872487797</v>
      </c>
      <c r="H43" s="136">
        <f t="shared" si="2"/>
        <v>35683555.636188269</v>
      </c>
    </row>
    <row r="44" spans="1:8" x14ac:dyDescent="0.25">
      <c r="A44" s="119">
        <v>1</v>
      </c>
      <c r="B44" s="119">
        <v>1</v>
      </c>
      <c r="C44" s="124">
        <v>43617</v>
      </c>
      <c r="D44" s="133">
        <f>SUMIF('Payment Buildup'!A$4:A$34,"="&amp;'Payment Schedule'!A44,'Payment Buildup'!P$4:P$34)</f>
        <v>2636886.2625000002</v>
      </c>
      <c r="E44" s="134">
        <f>SUMIF('Payment Buildup'!A$4:A$34,"="&amp;'Payment Schedule'!A44,'Payment Buildup'!Q$4:Q$34)</f>
        <v>573991.25437500014</v>
      </c>
      <c r="F44" s="134">
        <f t="shared" si="1"/>
        <v>2062895.0081250002</v>
      </c>
      <c r="G44" s="134">
        <f t="shared" si="0"/>
        <v>118945.1854539609</v>
      </c>
      <c r="H44" s="136">
        <f t="shared" si="2"/>
        <v>33739605.813517228</v>
      </c>
    </row>
    <row r="45" spans="1:8" x14ac:dyDescent="0.25">
      <c r="B45" s="119">
        <v>1</v>
      </c>
      <c r="C45" s="124">
        <v>43647</v>
      </c>
      <c r="D45" s="133">
        <f>SUMIF('Payment Buildup'!A$4:A$34,"="&amp;'Payment Schedule'!A45,'Payment Buildup'!P$4:P$34)</f>
        <v>0</v>
      </c>
      <c r="E45" s="134">
        <f>SUMIF('Payment Buildup'!A$4:A$34,"="&amp;'Payment Schedule'!A45,'Payment Buildup'!Q$4:Q$34)</f>
        <v>0</v>
      </c>
      <c r="F45" s="134">
        <f t="shared" si="1"/>
        <v>0</v>
      </c>
      <c r="G45" s="134">
        <f t="shared" si="0"/>
        <v>112465.3527117241</v>
      </c>
      <c r="H45" s="136">
        <f t="shared" si="2"/>
        <v>33852071.16622895</v>
      </c>
    </row>
    <row r="46" spans="1:8" x14ac:dyDescent="0.25">
      <c r="B46" s="119">
        <v>1</v>
      </c>
      <c r="C46" s="124">
        <v>43678</v>
      </c>
      <c r="D46" s="133">
        <f>SUMIF('Payment Buildup'!A$4:A$34,"="&amp;'Payment Schedule'!A46,'Payment Buildup'!P$4:P$34)</f>
        <v>0</v>
      </c>
      <c r="E46" s="134">
        <f>SUMIF('Payment Buildup'!A$4:A$34,"="&amp;'Payment Schedule'!A46,'Payment Buildup'!Q$4:Q$34)</f>
        <v>0</v>
      </c>
      <c r="F46" s="134">
        <f t="shared" si="1"/>
        <v>0</v>
      </c>
      <c r="G46" s="134">
        <f t="shared" si="0"/>
        <v>112840.23722076317</v>
      </c>
      <c r="H46" s="136">
        <f t="shared" si="2"/>
        <v>33964911.403449714</v>
      </c>
    </row>
    <row r="47" spans="1:8" x14ac:dyDescent="0.25">
      <c r="B47" s="119">
        <v>1</v>
      </c>
      <c r="C47" s="124">
        <v>43709</v>
      </c>
      <c r="D47" s="133">
        <f>SUMIF('Payment Buildup'!A$4:A$34,"="&amp;'Payment Schedule'!A47,'Payment Buildup'!P$4:P$34)</f>
        <v>0</v>
      </c>
      <c r="E47" s="134">
        <f>SUMIF('Payment Buildup'!A$4:A$34,"="&amp;'Payment Schedule'!A47,'Payment Buildup'!Q$4:Q$34)</f>
        <v>0</v>
      </c>
      <c r="F47" s="134">
        <f t="shared" si="1"/>
        <v>0</v>
      </c>
      <c r="G47" s="134">
        <f t="shared" si="0"/>
        <v>113216.37134483238</v>
      </c>
      <c r="H47" s="136">
        <f t="shared" si="2"/>
        <v>34078127.774794549</v>
      </c>
    </row>
    <row r="48" spans="1:8" x14ac:dyDescent="0.25">
      <c r="B48" s="119">
        <v>1</v>
      </c>
      <c r="C48" s="124">
        <v>43739</v>
      </c>
      <c r="D48" s="133">
        <f>SUMIF('Payment Buildup'!A$4:A$34,"="&amp;'Payment Schedule'!A48,'Payment Buildup'!P$4:P$34)</f>
        <v>0</v>
      </c>
      <c r="E48" s="134">
        <f>SUMIF('Payment Buildup'!A$4:A$34,"="&amp;'Payment Schedule'!A48,'Payment Buildup'!Q$4:Q$34)</f>
        <v>0</v>
      </c>
      <c r="F48" s="134">
        <f t="shared" si="1"/>
        <v>0</v>
      </c>
      <c r="G48" s="134">
        <f t="shared" si="0"/>
        <v>113593.75924931518</v>
      </c>
      <c r="H48" s="136">
        <f t="shared" si="2"/>
        <v>34191721.534043863</v>
      </c>
    </row>
    <row r="49" spans="1:8" x14ac:dyDescent="0.25">
      <c r="B49" s="119">
        <v>1</v>
      </c>
      <c r="C49" s="124">
        <v>43770</v>
      </c>
      <c r="D49" s="133">
        <f>SUMIF('Payment Buildup'!A$4:A$34,"="&amp;'Payment Schedule'!A49,'Payment Buildup'!P$4:P$34)</f>
        <v>0</v>
      </c>
      <c r="E49" s="134">
        <f>SUMIF('Payment Buildup'!A$4:A$34,"="&amp;'Payment Schedule'!A49,'Payment Buildup'!Q$4:Q$34)</f>
        <v>0</v>
      </c>
      <c r="F49" s="134">
        <f t="shared" si="1"/>
        <v>0</v>
      </c>
      <c r="G49" s="134">
        <f t="shared" si="0"/>
        <v>113972.40511347956</v>
      </c>
      <c r="H49" s="136">
        <f t="shared" si="2"/>
        <v>34305693.939157344</v>
      </c>
    </row>
    <row r="50" spans="1:8" x14ac:dyDescent="0.25">
      <c r="B50" s="119">
        <v>1</v>
      </c>
      <c r="C50" s="124">
        <v>43800</v>
      </c>
      <c r="D50" s="133">
        <f>SUMIF('Payment Buildup'!A$4:A$34,"="&amp;'Payment Schedule'!A50,'Payment Buildup'!P$4:P$34)</f>
        <v>0</v>
      </c>
      <c r="E50" s="134">
        <f>SUMIF('Payment Buildup'!A$4:A$34,"="&amp;'Payment Schedule'!A50,'Payment Buildup'!Q$4:Q$34)</f>
        <v>0</v>
      </c>
      <c r="F50" s="134">
        <f t="shared" si="1"/>
        <v>0</v>
      </c>
      <c r="G50" s="134">
        <f t="shared" si="0"/>
        <v>114352.31313052449</v>
      </c>
      <c r="H50" s="136">
        <f t="shared" si="2"/>
        <v>34420046.252287872</v>
      </c>
    </row>
    <row r="51" spans="1:8" x14ac:dyDescent="0.25">
      <c r="B51" s="119">
        <v>1</v>
      </c>
      <c r="C51" s="124">
        <v>43831</v>
      </c>
      <c r="D51" s="133">
        <f>SUMIF('Payment Buildup'!A$4:A$34,"="&amp;'Payment Schedule'!A51,'Payment Buildup'!P$4:P$34)</f>
        <v>0</v>
      </c>
      <c r="E51" s="134">
        <f>SUMIF('Payment Buildup'!A$4:A$34,"="&amp;'Payment Schedule'!A51,'Payment Buildup'!Q$4:Q$34)</f>
        <v>0</v>
      </c>
      <c r="F51" s="134">
        <f t="shared" si="1"/>
        <v>0</v>
      </c>
      <c r="G51" s="134">
        <f t="shared" si="0"/>
        <v>114733.48750762625</v>
      </c>
      <c r="H51" s="136">
        <f t="shared" si="2"/>
        <v>34534779.739795499</v>
      </c>
    </row>
    <row r="52" spans="1:8" x14ac:dyDescent="0.25">
      <c r="B52" s="119">
        <v>2</v>
      </c>
      <c r="C52" s="124">
        <v>43862</v>
      </c>
      <c r="D52" s="133">
        <f>SUMIF('Payment Buildup'!A$4:A$34,"="&amp;'Payment Schedule'!A52,'Payment Buildup'!P$4:P$34)</f>
        <v>0</v>
      </c>
      <c r="E52" s="134">
        <f>SUMIF('Payment Buildup'!A$4:A$34,"="&amp;'Payment Schedule'!A52,'Payment Buildup'!Q$4:Q$34)</f>
        <v>0</v>
      </c>
      <c r="F52" s="134">
        <f t="shared" si="1"/>
        <v>0</v>
      </c>
      <c r="G52" s="134">
        <f t="shared" si="0"/>
        <v>115115.932465985</v>
      </c>
      <c r="H52" s="136">
        <f t="shared" si="2"/>
        <v>34649895.672261484</v>
      </c>
    </row>
    <row r="53" spans="1:8" x14ac:dyDescent="0.25">
      <c r="B53" s="119">
        <v>2</v>
      </c>
      <c r="C53" s="124">
        <v>43891</v>
      </c>
      <c r="D53" s="133">
        <f>SUMIF('Payment Buildup'!A$4:A$34,"="&amp;'Payment Schedule'!A53,'Payment Buildup'!P$4:P$34)</f>
        <v>0</v>
      </c>
      <c r="E53" s="134">
        <f>SUMIF('Payment Buildup'!A$4:A$34,"="&amp;'Payment Schedule'!A53,'Payment Buildup'!Q$4:Q$34)</f>
        <v>0</v>
      </c>
      <c r="F53" s="134">
        <f t="shared" si="1"/>
        <v>0</v>
      </c>
      <c r="G53" s="134">
        <f t="shared" si="0"/>
        <v>115499.65224087163</v>
      </c>
      <c r="H53" s="136">
        <f t="shared" si="2"/>
        <v>34765395.324502356</v>
      </c>
    </row>
    <row r="54" spans="1:8" x14ac:dyDescent="0.25">
      <c r="B54" s="119">
        <v>2</v>
      </c>
      <c r="C54" s="124">
        <v>43922</v>
      </c>
      <c r="D54" s="133">
        <f>SUMIF('Payment Buildup'!A$4:A$34,"="&amp;'Payment Schedule'!A54,'Payment Buildup'!P$4:P$34)</f>
        <v>0</v>
      </c>
      <c r="E54" s="134">
        <f>SUMIF('Payment Buildup'!A$4:A$34,"="&amp;'Payment Schedule'!A54,'Payment Buildup'!Q$4:Q$34)</f>
        <v>0</v>
      </c>
      <c r="F54" s="134">
        <f t="shared" si="1"/>
        <v>0</v>
      </c>
      <c r="G54" s="134">
        <f t="shared" si="0"/>
        <v>115884.65108167453</v>
      </c>
      <c r="H54" s="136">
        <f t="shared" si="2"/>
        <v>34881279.97558403</v>
      </c>
    </row>
    <row r="55" spans="1:8" x14ac:dyDescent="0.25">
      <c r="B55" s="119">
        <v>2</v>
      </c>
      <c r="C55" s="124">
        <v>43952</v>
      </c>
      <c r="D55" s="133">
        <f>SUMIF('Payment Buildup'!A$4:A$34,"="&amp;'Payment Schedule'!A55,'Payment Buildup'!P$4:P$34)</f>
        <v>0</v>
      </c>
      <c r="E55" s="134">
        <f>SUMIF('Payment Buildup'!A$4:A$34,"="&amp;'Payment Schedule'!A55,'Payment Buildup'!Q$4:Q$34)</f>
        <v>0</v>
      </c>
      <c r="F55" s="134">
        <f t="shared" si="1"/>
        <v>0</v>
      </c>
      <c r="G55" s="134">
        <f t="shared" si="0"/>
        <v>116270.93325194677</v>
      </c>
      <c r="H55" s="136">
        <f t="shared" si="2"/>
        <v>34997550.908835977</v>
      </c>
    </row>
    <row r="56" spans="1:8" x14ac:dyDescent="0.25">
      <c r="A56" s="119">
        <v>2</v>
      </c>
      <c r="B56" s="119">
        <v>2</v>
      </c>
      <c r="C56" s="124">
        <v>43983</v>
      </c>
      <c r="D56" s="133">
        <f>SUMIF('Payment Buildup'!A$4:A$34,"="&amp;'Payment Schedule'!A56,'Payment Buildup'!P$4:P$34)</f>
        <v>2715992.8503750004</v>
      </c>
      <c r="E56" s="134">
        <f>SUMIF('Payment Buildup'!A$4:A$34,"="&amp;'Payment Schedule'!A56,'Payment Buildup'!Q$4:Q$34)</f>
        <v>591210.99200625019</v>
      </c>
      <c r="F56" s="134">
        <f t="shared" si="1"/>
        <v>2124781.8583687502</v>
      </c>
      <c r="G56" s="134">
        <f t="shared" si="0"/>
        <v>116658.50302945326</v>
      </c>
      <c r="H56" s="136">
        <f t="shared" si="2"/>
        <v>32989427.553496677</v>
      </c>
    </row>
    <row r="57" spans="1:8" x14ac:dyDescent="0.25">
      <c r="B57" s="119">
        <v>2</v>
      </c>
      <c r="C57" s="124">
        <v>44013</v>
      </c>
      <c r="D57" s="133">
        <f>SUMIF('Payment Buildup'!A$4:A$34,"="&amp;'Payment Schedule'!A57,'Payment Buildup'!P$4:P$34)</f>
        <v>0</v>
      </c>
      <c r="E57" s="134">
        <f>SUMIF('Payment Buildup'!A$4:A$34,"="&amp;'Payment Schedule'!A57,'Payment Buildup'!Q$4:Q$34)</f>
        <v>0</v>
      </c>
      <c r="F57" s="134">
        <f t="shared" si="1"/>
        <v>0</v>
      </c>
      <c r="G57" s="134">
        <f t="shared" si="0"/>
        <v>109964.7585116556</v>
      </c>
      <c r="H57" s="136">
        <f t="shared" si="2"/>
        <v>33099392.312008332</v>
      </c>
    </row>
    <row r="58" spans="1:8" x14ac:dyDescent="0.25">
      <c r="B58" s="119">
        <v>2</v>
      </c>
      <c r="C58" s="124">
        <v>44044</v>
      </c>
      <c r="D58" s="133">
        <f>SUMIF('Payment Buildup'!A$4:A$34,"="&amp;'Payment Schedule'!A58,'Payment Buildup'!P$4:P$34)</f>
        <v>0</v>
      </c>
      <c r="E58" s="134">
        <f>SUMIF('Payment Buildup'!A$4:A$34,"="&amp;'Payment Schedule'!A58,'Payment Buildup'!Q$4:Q$34)</f>
        <v>0</v>
      </c>
      <c r="F58" s="134">
        <f t="shared" si="1"/>
        <v>0</v>
      </c>
      <c r="G58" s="134">
        <f t="shared" si="0"/>
        <v>110331.30770669445</v>
      </c>
      <c r="H58" s="136">
        <f t="shared" si="2"/>
        <v>33209723.619715028</v>
      </c>
    </row>
    <row r="59" spans="1:8" x14ac:dyDescent="0.25">
      <c r="B59" s="119">
        <v>2</v>
      </c>
      <c r="C59" s="124">
        <v>44075</v>
      </c>
      <c r="D59" s="133">
        <f>SUMIF('Payment Buildup'!A$4:A$34,"="&amp;'Payment Schedule'!A59,'Payment Buildup'!P$4:P$34)</f>
        <v>0</v>
      </c>
      <c r="E59" s="134">
        <f>SUMIF('Payment Buildup'!A$4:A$34,"="&amp;'Payment Schedule'!A59,'Payment Buildup'!Q$4:Q$34)</f>
        <v>0</v>
      </c>
      <c r="F59" s="134">
        <f t="shared" si="1"/>
        <v>0</v>
      </c>
      <c r="G59" s="134">
        <f t="shared" si="0"/>
        <v>110699.07873238344</v>
      </c>
      <c r="H59" s="136">
        <f t="shared" si="2"/>
        <v>33320422.69844741</v>
      </c>
    </row>
    <row r="60" spans="1:8" x14ac:dyDescent="0.25">
      <c r="B60" s="119">
        <v>2</v>
      </c>
      <c r="C60" s="124">
        <v>44105</v>
      </c>
      <c r="D60" s="133">
        <f>SUMIF('Payment Buildup'!A$4:A$34,"="&amp;'Payment Schedule'!A60,'Payment Buildup'!P$4:P$34)</f>
        <v>0</v>
      </c>
      <c r="E60" s="134">
        <f>SUMIF('Payment Buildup'!A$4:A$34,"="&amp;'Payment Schedule'!A60,'Payment Buildup'!Q$4:Q$34)</f>
        <v>0</v>
      </c>
      <c r="F60" s="134">
        <f t="shared" si="1"/>
        <v>0</v>
      </c>
      <c r="G60" s="134">
        <f t="shared" si="0"/>
        <v>111068.07566149137</v>
      </c>
      <c r="H60" s="136">
        <f t="shared" si="2"/>
        <v>33431490.774108902</v>
      </c>
    </row>
    <row r="61" spans="1:8" x14ac:dyDescent="0.25">
      <c r="B61" s="119">
        <v>2</v>
      </c>
      <c r="C61" s="124">
        <v>44136</v>
      </c>
      <c r="D61" s="133">
        <f>SUMIF('Payment Buildup'!A$4:A$34,"="&amp;'Payment Schedule'!A61,'Payment Buildup'!P$4:P$34)</f>
        <v>0</v>
      </c>
      <c r="E61" s="134">
        <f>SUMIF('Payment Buildup'!A$4:A$34,"="&amp;'Payment Schedule'!A61,'Payment Buildup'!Q$4:Q$34)</f>
        <v>0</v>
      </c>
      <c r="F61" s="134">
        <f t="shared" si="1"/>
        <v>0</v>
      </c>
      <c r="G61" s="134">
        <f t="shared" si="0"/>
        <v>111438.30258036302</v>
      </c>
      <c r="H61" s="136">
        <f t="shared" si="2"/>
        <v>33542929.076689266</v>
      </c>
    </row>
    <row r="62" spans="1:8" x14ac:dyDescent="0.25">
      <c r="B62" s="119">
        <v>2</v>
      </c>
      <c r="C62" s="124">
        <v>44166</v>
      </c>
      <c r="D62" s="133">
        <f>SUMIF('Payment Buildup'!A$4:A$34,"="&amp;'Payment Schedule'!A62,'Payment Buildup'!P$4:P$34)</f>
        <v>0</v>
      </c>
      <c r="E62" s="134">
        <f>SUMIF('Payment Buildup'!A$4:A$34,"="&amp;'Payment Schedule'!A62,'Payment Buildup'!Q$4:Q$34)</f>
        <v>0</v>
      </c>
      <c r="F62" s="134">
        <f t="shared" si="1"/>
        <v>0</v>
      </c>
      <c r="G62" s="134">
        <f t="shared" si="0"/>
        <v>111809.76358896423</v>
      </c>
      <c r="H62" s="136">
        <f t="shared" si="2"/>
        <v>33654738.840278231</v>
      </c>
    </row>
    <row r="63" spans="1:8" x14ac:dyDescent="0.25">
      <c r="B63" s="119">
        <v>2</v>
      </c>
      <c r="C63" s="124">
        <v>44197</v>
      </c>
      <c r="D63" s="133">
        <f>SUMIF('Payment Buildup'!A$4:A$34,"="&amp;'Payment Schedule'!A63,'Payment Buildup'!P$4:P$34)</f>
        <v>0</v>
      </c>
      <c r="E63" s="134">
        <f>SUMIF('Payment Buildup'!A$4:A$34,"="&amp;'Payment Schedule'!A63,'Payment Buildup'!Q$4:Q$34)</f>
        <v>0</v>
      </c>
      <c r="F63" s="134">
        <f t="shared" si="1"/>
        <v>0</v>
      </c>
      <c r="G63" s="134">
        <f t="shared" si="0"/>
        <v>112182.46280092745</v>
      </c>
      <c r="H63" s="136">
        <f t="shared" si="2"/>
        <v>33766921.303079158</v>
      </c>
    </row>
    <row r="64" spans="1:8" x14ac:dyDescent="0.25">
      <c r="B64" s="119">
        <v>2</v>
      </c>
      <c r="C64" s="124">
        <v>44228</v>
      </c>
      <c r="D64" s="133">
        <f>SUMIF('Payment Buildup'!A$4:A$34,"="&amp;'Payment Schedule'!A64,'Payment Buildup'!P$4:P$34)</f>
        <v>0</v>
      </c>
      <c r="E64" s="134">
        <f>SUMIF('Payment Buildup'!A$4:A$34,"="&amp;'Payment Schedule'!A64,'Payment Buildup'!Q$4:Q$34)</f>
        <v>0</v>
      </c>
      <c r="F64" s="134">
        <f t="shared" si="1"/>
        <v>0</v>
      </c>
      <c r="G64" s="134">
        <f t="shared" si="0"/>
        <v>112556.4043435972</v>
      </c>
      <c r="H64" s="136">
        <f t="shared" si="2"/>
        <v>33879477.707422756</v>
      </c>
    </row>
    <row r="65" spans="1:8" x14ac:dyDescent="0.25">
      <c r="B65" s="119">
        <v>3</v>
      </c>
      <c r="C65" s="124">
        <v>44256</v>
      </c>
      <c r="D65" s="133">
        <f>SUMIF('Payment Buildup'!A$4:A$34,"="&amp;'Payment Schedule'!A65,'Payment Buildup'!P$4:P$34)</f>
        <v>0</v>
      </c>
      <c r="E65" s="134">
        <f>SUMIF('Payment Buildup'!A$4:A$34,"="&amp;'Payment Schedule'!A65,'Payment Buildup'!Q$4:Q$34)</f>
        <v>0</v>
      </c>
      <c r="F65" s="134">
        <f t="shared" si="1"/>
        <v>0</v>
      </c>
      <c r="G65" s="134">
        <f t="shared" si="0"/>
        <v>112931.59235807585</v>
      </c>
      <c r="H65" s="136">
        <f t="shared" si="2"/>
        <v>33992409.299780831</v>
      </c>
    </row>
    <row r="66" spans="1:8" x14ac:dyDescent="0.25">
      <c r="B66" s="119">
        <v>3</v>
      </c>
      <c r="C66" s="124">
        <v>44287</v>
      </c>
      <c r="D66" s="133">
        <f>SUMIF('Payment Buildup'!A$4:A$34,"="&amp;'Payment Schedule'!A66,'Payment Buildup'!P$4:P$34)</f>
        <v>0</v>
      </c>
      <c r="E66" s="134">
        <f>SUMIF('Payment Buildup'!A$4:A$34,"="&amp;'Payment Schedule'!A66,'Payment Buildup'!Q$4:Q$34)</f>
        <v>0</v>
      </c>
      <c r="F66" s="134">
        <f t="shared" si="1"/>
        <v>0</v>
      </c>
      <c r="G66" s="134">
        <f t="shared" si="0"/>
        <v>113308.03099926944</v>
      </c>
      <c r="H66" s="136">
        <f t="shared" si="2"/>
        <v>34105717.330780104</v>
      </c>
    </row>
    <row r="67" spans="1:8" x14ac:dyDescent="0.25">
      <c r="B67" s="119">
        <v>3</v>
      </c>
      <c r="C67" s="124">
        <v>44317</v>
      </c>
      <c r="D67" s="133">
        <f>SUMIF('Payment Buildup'!A$4:A$34,"="&amp;'Payment Schedule'!A67,'Payment Buildup'!P$4:P$34)</f>
        <v>0</v>
      </c>
      <c r="E67" s="134">
        <f>SUMIF('Payment Buildup'!A$4:A$34,"="&amp;'Payment Schedule'!A67,'Payment Buildup'!Q$4:Q$34)</f>
        <v>0</v>
      </c>
      <c r="F67" s="134">
        <f t="shared" si="1"/>
        <v>0</v>
      </c>
      <c r="G67" s="134">
        <f t="shared" si="0"/>
        <v>113685.72443593369</v>
      </c>
      <c r="H67" s="136">
        <f t="shared" si="2"/>
        <v>34219403.055216037</v>
      </c>
    </row>
    <row r="68" spans="1:8" x14ac:dyDescent="0.25">
      <c r="A68" s="119">
        <v>3</v>
      </c>
      <c r="B68" s="119">
        <v>3</v>
      </c>
      <c r="C68" s="124">
        <v>44348</v>
      </c>
      <c r="D68" s="133">
        <f>SUMIF('Payment Buildup'!A$4:A$34,"="&amp;'Payment Schedule'!A68,'Payment Buildup'!P$4:P$34)</f>
        <v>2797472.635886251</v>
      </c>
      <c r="E68" s="134">
        <f>SUMIF('Payment Buildup'!A$4:A$34,"="&amp;'Payment Schedule'!A68,'Payment Buildup'!Q$4:Q$34)</f>
        <v>608947.32176643773</v>
      </c>
      <c r="F68" s="134">
        <f t="shared" si="1"/>
        <v>2188525.314119813</v>
      </c>
      <c r="G68" s="134">
        <f t="shared" si="0"/>
        <v>114064.67685072013</v>
      </c>
      <c r="H68" s="136">
        <f t="shared" si="2"/>
        <v>32144942.417946946</v>
      </c>
    </row>
    <row r="69" spans="1:8" x14ac:dyDescent="0.25">
      <c r="B69" s="119">
        <v>3</v>
      </c>
      <c r="C69" s="124">
        <v>44378</v>
      </c>
      <c r="D69" s="133">
        <f>SUMIF('Payment Buildup'!A$4:A$34,"="&amp;'Payment Schedule'!A69,'Payment Buildup'!P$4:P$34)</f>
        <v>0</v>
      </c>
      <c r="E69" s="134">
        <f>SUMIF('Payment Buildup'!A$4:A$34,"="&amp;'Payment Schedule'!A69,'Payment Buildup'!Q$4:Q$34)</f>
        <v>0</v>
      </c>
      <c r="F69" s="134">
        <f t="shared" si="1"/>
        <v>0</v>
      </c>
      <c r="G69" s="134">
        <f t="shared" si="0"/>
        <v>107149.80805982316</v>
      </c>
      <c r="H69" s="136">
        <f t="shared" si="2"/>
        <v>32252092.226006769</v>
      </c>
    </row>
    <row r="70" spans="1:8" x14ac:dyDescent="0.25">
      <c r="B70" s="119">
        <v>3</v>
      </c>
      <c r="C70" s="124">
        <v>44409</v>
      </c>
      <c r="D70" s="133">
        <f>SUMIF('Payment Buildup'!A$4:A$34,"="&amp;'Payment Schedule'!A70,'Payment Buildup'!P$4:P$34)</f>
        <v>0</v>
      </c>
      <c r="E70" s="134">
        <f>SUMIF('Payment Buildup'!A$4:A$34,"="&amp;'Payment Schedule'!A70,'Payment Buildup'!Q$4:Q$34)</f>
        <v>0</v>
      </c>
      <c r="F70" s="134">
        <f t="shared" si="1"/>
        <v>0</v>
      </c>
      <c r="G70" s="134">
        <f t="shared" si="0"/>
        <v>107506.97408668924</v>
      </c>
      <c r="H70" s="136">
        <f t="shared" si="2"/>
        <v>32359599.200093459</v>
      </c>
    </row>
    <row r="71" spans="1:8" x14ac:dyDescent="0.25">
      <c r="B71" s="119">
        <v>3</v>
      </c>
      <c r="C71" s="124">
        <v>44440</v>
      </c>
      <c r="D71" s="133">
        <f>SUMIF('Payment Buildup'!A$4:A$34,"="&amp;'Payment Schedule'!A71,'Payment Buildup'!P$4:P$34)</f>
        <v>0</v>
      </c>
      <c r="E71" s="134">
        <f>SUMIF('Payment Buildup'!A$4:A$34,"="&amp;'Payment Schedule'!A71,'Payment Buildup'!Q$4:Q$34)</f>
        <v>0</v>
      </c>
      <c r="F71" s="134">
        <f t="shared" si="1"/>
        <v>0</v>
      </c>
      <c r="G71" s="134">
        <f t="shared" si="0"/>
        <v>107865.3306669782</v>
      </c>
      <c r="H71" s="136">
        <f t="shared" si="2"/>
        <v>32467464.530760437</v>
      </c>
    </row>
    <row r="72" spans="1:8" x14ac:dyDescent="0.25">
      <c r="B72" s="119">
        <v>3</v>
      </c>
      <c r="C72" s="124">
        <v>44470</v>
      </c>
      <c r="D72" s="133">
        <f>SUMIF('Payment Buildup'!A$4:A$34,"="&amp;'Payment Schedule'!A72,'Payment Buildup'!P$4:P$34)</f>
        <v>0</v>
      </c>
      <c r="E72" s="134">
        <f>SUMIF('Payment Buildup'!A$4:A$34,"="&amp;'Payment Schedule'!A72,'Payment Buildup'!Q$4:Q$34)</f>
        <v>0</v>
      </c>
      <c r="F72" s="134">
        <f t="shared" si="1"/>
        <v>0</v>
      </c>
      <c r="G72" s="134">
        <f t="shared" si="0"/>
        <v>108224.88176920147</v>
      </c>
      <c r="H72" s="136">
        <f t="shared" si="2"/>
        <v>32575689.41252964</v>
      </c>
    </row>
    <row r="73" spans="1:8" x14ac:dyDescent="0.25">
      <c r="B73" s="119">
        <v>3</v>
      </c>
      <c r="C73" s="124">
        <v>44501</v>
      </c>
      <c r="D73" s="133">
        <f>SUMIF('Payment Buildup'!A$4:A$34,"="&amp;'Payment Schedule'!A73,'Payment Buildup'!P$4:P$34)</f>
        <v>0</v>
      </c>
      <c r="E73" s="134">
        <f>SUMIF('Payment Buildup'!A$4:A$34,"="&amp;'Payment Schedule'!A73,'Payment Buildup'!Q$4:Q$34)</f>
        <v>0</v>
      </c>
      <c r="F73" s="134">
        <f t="shared" si="1"/>
        <v>0</v>
      </c>
      <c r="G73" s="134">
        <f t="shared" si="0"/>
        <v>108585.6313750988</v>
      </c>
      <c r="H73" s="136">
        <f t="shared" si="2"/>
        <v>32684275.04390474</v>
      </c>
    </row>
    <row r="74" spans="1:8" x14ac:dyDescent="0.25">
      <c r="B74" s="119">
        <v>3</v>
      </c>
      <c r="C74" s="124">
        <v>44531</v>
      </c>
      <c r="D74" s="133">
        <f>SUMIF('Payment Buildup'!A$4:A$34,"="&amp;'Payment Schedule'!A74,'Payment Buildup'!P$4:P$34)</f>
        <v>0</v>
      </c>
      <c r="E74" s="134">
        <f>SUMIF('Payment Buildup'!A$4:A$34,"="&amp;'Payment Schedule'!A74,'Payment Buildup'!Q$4:Q$34)</f>
        <v>0</v>
      </c>
      <c r="F74" s="134">
        <f t="shared" si="1"/>
        <v>0</v>
      </c>
      <c r="G74" s="134">
        <f t="shared" ref="G74:G137" si="3">H73*(C$6/12)</f>
        <v>108947.58347968248</v>
      </c>
      <c r="H74" s="136">
        <f t="shared" si="2"/>
        <v>32793222.627384424</v>
      </c>
    </row>
    <row r="75" spans="1:8" x14ac:dyDescent="0.25">
      <c r="B75" s="119">
        <v>3</v>
      </c>
      <c r="C75" s="124">
        <v>44562</v>
      </c>
      <c r="D75" s="133">
        <f>SUMIF('Payment Buildup'!A$4:A$34,"="&amp;'Payment Schedule'!A75,'Payment Buildup'!P$4:P$34)</f>
        <v>0</v>
      </c>
      <c r="E75" s="134">
        <f>SUMIF('Payment Buildup'!A$4:A$34,"="&amp;'Payment Schedule'!A75,'Payment Buildup'!Q$4:Q$34)</f>
        <v>0</v>
      </c>
      <c r="F75" s="134">
        <f t="shared" si="1"/>
        <v>0</v>
      </c>
      <c r="G75" s="134">
        <f t="shared" si="3"/>
        <v>109310.74209128143</v>
      </c>
      <c r="H75" s="136">
        <f t="shared" si="2"/>
        <v>32902533.369475707</v>
      </c>
    </row>
    <row r="76" spans="1:8" x14ac:dyDescent="0.25">
      <c r="B76" s="119">
        <v>4</v>
      </c>
      <c r="C76" s="124">
        <v>44593</v>
      </c>
      <c r="D76" s="133">
        <f>SUMIF('Payment Buildup'!A$4:A$34,"="&amp;'Payment Schedule'!A76,'Payment Buildup'!P$4:P$34)</f>
        <v>0</v>
      </c>
      <c r="E76" s="134">
        <f>SUMIF('Payment Buildup'!A$4:A$34,"="&amp;'Payment Schedule'!A76,'Payment Buildup'!Q$4:Q$34)</f>
        <v>0</v>
      </c>
      <c r="F76" s="134">
        <f t="shared" si="1"/>
        <v>0</v>
      </c>
      <c r="G76" s="134">
        <f t="shared" si="3"/>
        <v>109675.1112315857</v>
      </c>
      <c r="H76" s="136">
        <f t="shared" si="2"/>
        <v>33012208.480707292</v>
      </c>
    </row>
    <row r="77" spans="1:8" x14ac:dyDescent="0.25">
      <c r="B77" s="119">
        <v>4</v>
      </c>
      <c r="C77" s="124">
        <v>44621</v>
      </c>
      <c r="D77" s="133">
        <f>SUMIF('Payment Buildup'!A$4:A$34,"="&amp;'Payment Schedule'!A77,'Payment Buildup'!P$4:P$34)</f>
        <v>0</v>
      </c>
      <c r="E77" s="134">
        <f>SUMIF('Payment Buildup'!A$4:A$34,"="&amp;'Payment Schedule'!A77,'Payment Buildup'!Q$4:Q$34)</f>
        <v>0</v>
      </c>
      <c r="F77" s="134">
        <f t="shared" si="1"/>
        <v>0</v>
      </c>
      <c r="G77" s="134">
        <f t="shared" si="3"/>
        <v>110040.69493569098</v>
      </c>
      <c r="H77" s="136">
        <f t="shared" si="2"/>
        <v>33122249.175642982</v>
      </c>
    </row>
    <row r="78" spans="1:8" x14ac:dyDescent="0.25">
      <c r="B78" s="119">
        <v>4</v>
      </c>
      <c r="C78" s="124">
        <v>44652</v>
      </c>
      <c r="D78" s="133">
        <f>SUMIF('Payment Buildup'!A$4:A$34,"="&amp;'Payment Schedule'!A78,'Payment Buildup'!P$4:P$34)</f>
        <v>0</v>
      </c>
      <c r="E78" s="134">
        <f>SUMIF('Payment Buildup'!A$4:A$34,"="&amp;'Payment Schedule'!A78,'Payment Buildup'!Q$4:Q$34)</f>
        <v>0</v>
      </c>
      <c r="F78" s="134">
        <f t="shared" si="1"/>
        <v>0</v>
      </c>
      <c r="G78" s="134">
        <f t="shared" si="3"/>
        <v>110407.49725214328</v>
      </c>
      <c r="H78" s="136">
        <f t="shared" si="2"/>
        <v>33232656.672895126</v>
      </c>
    </row>
    <row r="79" spans="1:8" x14ac:dyDescent="0.25">
      <c r="B79" s="119">
        <v>4</v>
      </c>
      <c r="C79" s="124">
        <v>44682</v>
      </c>
      <c r="D79" s="133">
        <f>SUMIF('Payment Buildup'!A$4:A$34,"="&amp;'Payment Schedule'!A79,'Payment Buildup'!P$4:P$34)</f>
        <v>0</v>
      </c>
      <c r="E79" s="134">
        <f>SUMIF('Payment Buildup'!A$4:A$34,"="&amp;'Payment Schedule'!A79,'Payment Buildup'!Q$4:Q$34)</f>
        <v>0</v>
      </c>
      <c r="F79" s="134">
        <f t="shared" si="1"/>
        <v>0</v>
      </c>
      <c r="G79" s="134">
        <f t="shared" si="3"/>
        <v>110775.52224298376</v>
      </c>
      <c r="H79" s="136">
        <f t="shared" si="2"/>
        <v>33343432.195138108</v>
      </c>
    </row>
    <row r="80" spans="1:8" x14ac:dyDescent="0.25">
      <c r="A80" s="119">
        <v>4</v>
      </c>
      <c r="B80" s="119">
        <v>4</v>
      </c>
      <c r="C80" s="124">
        <v>44713</v>
      </c>
      <c r="D80" s="133">
        <f>SUMIF('Payment Buildup'!A$4:A$34,"="&amp;'Payment Schedule'!A80,'Payment Buildup'!P$4:P$34)</f>
        <v>2881396.8149628383</v>
      </c>
      <c r="E80" s="134">
        <f>SUMIF('Payment Buildup'!A$4:A$34,"="&amp;'Payment Schedule'!A80,'Payment Buildup'!Q$4:Q$34)</f>
        <v>627215.74141943094</v>
      </c>
      <c r="F80" s="134">
        <f t="shared" si="1"/>
        <v>2254181.0735434075</v>
      </c>
      <c r="G80" s="134">
        <f t="shared" si="3"/>
        <v>111144.7739837937</v>
      </c>
      <c r="H80" s="136">
        <f t="shared" si="2"/>
        <v>31200395.895578496</v>
      </c>
    </row>
    <row r="81" spans="1:8" x14ac:dyDescent="0.25">
      <c r="B81" s="119">
        <v>4</v>
      </c>
      <c r="C81" s="124">
        <v>44743</v>
      </c>
      <c r="D81" s="133">
        <f>SUMIF('Payment Buildup'!A$4:A$34,"="&amp;'Payment Schedule'!A81,'Payment Buildup'!P$4:P$34)</f>
        <v>0</v>
      </c>
      <c r="E81" s="134">
        <f>SUMIF('Payment Buildup'!A$4:A$34,"="&amp;'Payment Schedule'!A81,'Payment Buildup'!Q$4:Q$34)</f>
        <v>0</v>
      </c>
      <c r="F81" s="134">
        <f t="shared" si="1"/>
        <v>0</v>
      </c>
      <c r="G81" s="134">
        <f t="shared" si="3"/>
        <v>104001.31965192832</v>
      </c>
      <c r="H81" s="136">
        <f t="shared" si="2"/>
        <v>31304397.215230424</v>
      </c>
    </row>
    <row r="82" spans="1:8" x14ac:dyDescent="0.25">
      <c r="B82" s="119">
        <v>4</v>
      </c>
      <c r="C82" s="124">
        <v>44774</v>
      </c>
      <c r="D82" s="133">
        <f>SUMIF('Payment Buildup'!A$4:A$34,"="&amp;'Payment Schedule'!A82,'Payment Buildup'!P$4:P$34)</f>
        <v>0</v>
      </c>
      <c r="E82" s="134">
        <f>SUMIF('Payment Buildup'!A$4:A$34,"="&amp;'Payment Schedule'!A82,'Payment Buildup'!Q$4:Q$34)</f>
        <v>0</v>
      </c>
      <c r="F82" s="134">
        <f t="shared" si="1"/>
        <v>0</v>
      </c>
      <c r="G82" s="134">
        <f t="shared" si="3"/>
        <v>104347.99071743475</v>
      </c>
      <c r="H82" s="136">
        <f t="shared" si="2"/>
        <v>31408745.205947857</v>
      </c>
    </row>
    <row r="83" spans="1:8" x14ac:dyDescent="0.25">
      <c r="B83" s="119">
        <v>4</v>
      </c>
      <c r="C83" s="124">
        <v>44805</v>
      </c>
      <c r="D83" s="133">
        <f>SUMIF('Payment Buildup'!A$4:A$34,"="&amp;'Payment Schedule'!A83,'Payment Buildup'!P$4:P$34)</f>
        <v>0</v>
      </c>
      <c r="E83" s="134">
        <f>SUMIF('Payment Buildup'!A$4:A$34,"="&amp;'Payment Schedule'!A83,'Payment Buildup'!Q$4:Q$34)</f>
        <v>0</v>
      </c>
      <c r="F83" s="134">
        <f t="shared" si="1"/>
        <v>0</v>
      </c>
      <c r="G83" s="134">
        <f t="shared" si="3"/>
        <v>104695.81735315954</v>
      </c>
      <c r="H83" s="136">
        <f t="shared" si="2"/>
        <v>31513441.023301017</v>
      </c>
    </row>
    <row r="84" spans="1:8" x14ac:dyDescent="0.25">
      <c r="B84" s="119">
        <v>4</v>
      </c>
      <c r="C84" s="124">
        <v>44835</v>
      </c>
      <c r="D84" s="133">
        <f>SUMIF('Payment Buildup'!A$4:A$34,"="&amp;'Payment Schedule'!A84,'Payment Buildup'!P$4:P$34)</f>
        <v>0</v>
      </c>
      <c r="E84" s="134">
        <f>SUMIF('Payment Buildup'!A$4:A$34,"="&amp;'Payment Schedule'!A84,'Payment Buildup'!Q$4:Q$34)</f>
        <v>0</v>
      </c>
      <c r="F84" s="134">
        <f t="shared" si="1"/>
        <v>0</v>
      </c>
      <c r="G84" s="134">
        <f t="shared" si="3"/>
        <v>105044.80341100339</v>
      </c>
      <c r="H84" s="136">
        <f t="shared" si="2"/>
        <v>31618485.82671202</v>
      </c>
    </row>
    <row r="85" spans="1:8" x14ac:dyDescent="0.25">
      <c r="B85" s="119">
        <v>4</v>
      </c>
      <c r="C85" s="124">
        <v>44866</v>
      </c>
      <c r="D85" s="133">
        <f>SUMIF('Payment Buildup'!A$4:A$34,"="&amp;'Payment Schedule'!A85,'Payment Buildup'!P$4:P$34)</f>
        <v>0</v>
      </c>
      <c r="E85" s="134">
        <f>SUMIF('Payment Buildup'!A$4:A$34,"="&amp;'Payment Schedule'!A85,'Payment Buildup'!Q$4:Q$34)</f>
        <v>0</v>
      </c>
      <c r="F85" s="134">
        <f t="shared" si="1"/>
        <v>0</v>
      </c>
      <c r="G85" s="134">
        <f t="shared" si="3"/>
        <v>105394.95275570673</v>
      </c>
      <c r="H85" s="136">
        <f t="shared" si="2"/>
        <v>31723880.779467728</v>
      </c>
    </row>
    <row r="86" spans="1:8" x14ac:dyDescent="0.25">
      <c r="B86" s="119">
        <v>4</v>
      </c>
      <c r="C86" s="124">
        <v>44896</v>
      </c>
      <c r="D86" s="133">
        <f>SUMIF('Payment Buildup'!A$4:A$34,"="&amp;'Payment Schedule'!A86,'Payment Buildup'!P$4:P$34)</f>
        <v>0</v>
      </c>
      <c r="E86" s="134">
        <f>SUMIF('Payment Buildup'!A$4:A$34,"="&amp;'Payment Schedule'!A86,'Payment Buildup'!Q$4:Q$34)</f>
        <v>0</v>
      </c>
      <c r="F86" s="134">
        <f t="shared" si="1"/>
        <v>0</v>
      </c>
      <c r="G86" s="134">
        <f t="shared" si="3"/>
        <v>105746.26926489243</v>
      </c>
      <c r="H86" s="136">
        <f t="shared" si="2"/>
        <v>31829627.04873262</v>
      </c>
    </row>
    <row r="87" spans="1:8" x14ac:dyDescent="0.25">
      <c r="B87" s="119">
        <v>4</v>
      </c>
      <c r="C87" s="124">
        <v>44927</v>
      </c>
      <c r="D87" s="133">
        <f>SUMIF('Payment Buildup'!A$4:A$34,"="&amp;'Payment Schedule'!A87,'Payment Buildup'!P$4:P$34)</f>
        <v>0</v>
      </c>
      <c r="E87" s="134">
        <f>SUMIF('Payment Buildup'!A$4:A$34,"="&amp;'Payment Schedule'!A87,'Payment Buildup'!Q$4:Q$34)</f>
        <v>0</v>
      </c>
      <c r="F87" s="134">
        <f t="shared" si="1"/>
        <v>0</v>
      </c>
      <c r="G87" s="134">
        <f t="shared" si="3"/>
        <v>106098.75682910874</v>
      </c>
      <c r="H87" s="136">
        <f t="shared" si="2"/>
        <v>31935725.805561729</v>
      </c>
    </row>
    <row r="88" spans="1:8" x14ac:dyDescent="0.25">
      <c r="B88" s="119">
        <v>5</v>
      </c>
      <c r="C88" s="124">
        <v>44958</v>
      </c>
      <c r="D88" s="133">
        <f>SUMIF('Payment Buildup'!A$4:A$34,"="&amp;'Payment Schedule'!A88,'Payment Buildup'!P$4:P$34)</f>
        <v>0</v>
      </c>
      <c r="E88" s="134">
        <f>SUMIF('Payment Buildup'!A$4:A$34,"="&amp;'Payment Schedule'!A88,'Payment Buildup'!Q$4:Q$34)</f>
        <v>0</v>
      </c>
      <c r="F88" s="134">
        <f t="shared" si="1"/>
        <v>0</v>
      </c>
      <c r="G88" s="134">
        <f t="shared" si="3"/>
        <v>106452.41935187244</v>
      </c>
      <c r="H88" s="136">
        <f t="shared" si="2"/>
        <v>32042178.224913601</v>
      </c>
    </row>
    <row r="89" spans="1:8" x14ac:dyDescent="0.25">
      <c r="B89" s="119">
        <v>5</v>
      </c>
      <c r="C89" s="124">
        <v>44986</v>
      </c>
      <c r="D89" s="133">
        <f>SUMIF('Payment Buildup'!A$4:A$34,"="&amp;'Payment Schedule'!A89,'Payment Buildup'!P$4:P$34)</f>
        <v>0</v>
      </c>
      <c r="E89" s="134">
        <f>SUMIF('Payment Buildup'!A$4:A$34,"="&amp;'Payment Schedule'!A89,'Payment Buildup'!Q$4:Q$34)</f>
        <v>0</v>
      </c>
      <c r="F89" s="134">
        <f t="shared" si="1"/>
        <v>0</v>
      </c>
      <c r="G89" s="134">
        <f t="shared" si="3"/>
        <v>106807.260749712</v>
      </c>
      <c r="H89" s="136">
        <f t="shared" si="2"/>
        <v>32148985.485663313</v>
      </c>
    </row>
    <row r="90" spans="1:8" x14ac:dyDescent="0.25">
      <c r="B90" s="119">
        <v>5</v>
      </c>
      <c r="C90" s="124">
        <v>45017</v>
      </c>
      <c r="D90" s="133">
        <f>SUMIF('Payment Buildup'!A$4:A$34,"="&amp;'Payment Schedule'!A90,'Payment Buildup'!P$4:P$34)</f>
        <v>0</v>
      </c>
      <c r="E90" s="134">
        <f>SUMIF('Payment Buildup'!A$4:A$34,"="&amp;'Payment Schedule'!A90,'Payment Buildup'!Q$4:Q$34)</f>
        <v>0</v>
      </c>
      <c r="F90" s="134">
        <f t="shared" si="1"/>
        <v>0</v>
      </c>
      <c r="G90" s="134">
        <f t="shared" si="3"/>
        <v>107163.28495221105</v>
      </c>
      <c r="H90" s="136">
        <f t="shared" si="2"/>
        <v>32256148.770615526</v>
      </c>
    </row>
    <row r="91" spans="1:8" x14ac:dyDescent="0.25">
      <c r="B91" s="119">
        <v>5</v>
      </c>
      <c r="C91" s="124">
        <v>45047</v>
      </c>
      <c r="D91" s="133">
        <f>SUMIF('Payment Buildup'!A$4:A$34,"="&amp;'Payment Schedule'!A91,'Payment Buildup'!P$4:P$34)</f>
        <v>0</v>
      </c>
      <c r="E91" s="134">
        <f>SUMIF('Payment Buildup'!A$4:A$34,"="&amp;'Payment Schedule'!A91,'Payment Buildup'!Q$4:Q$34)</f>
        <v>0</v>
      </c>
      <c r="F91" s="134">
        <f t="shared" si="1"/>
        <v>0</v>
      </c>
      <c r="G91" s="134">
        <f t="shared" si="3"/>
        <v>107520.49590205176</v>
      </c>
      <c r="H91" s="136">
        <f t="shared" si="2"/>
        <v>32363669.266517576</v>
      </c>
    </row>
    <row r="92" spans="1:8" x14ac:dyDescent="0.25">
      <c r="A92" s="119">
        <v>5</v>
      </c>
      <c r="B92" s="119">
        <v>5</v>
      </c>
      <c r="C92" s="124">
        <v>45078</v>
      </c>
      <c r="D92" s="133">
        <f>SUMIF('Payment Buildup'!A$4:A$34,"="&amp;'Payment Schedule'!A92,'Payment Buildup'!P$4:P$34)</f>
        <v>2967838.7194117238</v>
      </c>
      <c r="E92" s="134">
        <f>SUMIF('Payment Buildup'!A$4:A$34,"="&amp;'Payment Schedule'!A92,'Payment Buildup'!Q$4:Q$34)</f>
        <v>646032.21366201376</v>
      </c>
      <c r="F92" s="134">
        <f t="shared" si="1"/>
        <v>2321806.5057497099</v>
      </c>
      <c r="G92" s="134">
        <f t="shared" si="3"/>
        <v>107878.89755505859</v>
      </c>
      <c r="H92" s="136">
        <f t="shared" si="2"/>
        <v>30149741.658322923</v>
      </c>
    </row>
    <row r="93" spans="1:8" x14ac:dyDescent="0.25">
      <c r="B93" s="119">
        <v>5</v>
      </c>
      <c r="C93" s="124">
        <v>45108</v>
      </c>
      <c r="D93" s="133">
        <f>SUMIF('Payment Buildup'!A$4:A$34,"="&amp;'Payment Schedule'!A93,'Payment Buildup'!P$4:P$34)</f>
        <v>0</v>
      </c>
      <c r="E93" s="134">
        <f>SUMIF('Payment Buildup'!A$4:A$34,"="&amp;'Payment Schedule'!A93,'Payment Buildup'!Q$4:Q$34)</f>
        <v>0</v>
      </c>
      <c r="F93" s="134">
        <f t="shared" si="1"/>
        <v>0</v>
      </c>
      <c r="G93" s="134">
        <f t="shared" si="3"/>
        <v>100499.13886107641</v>
      </c>
      <c r="H93" s="136">
        <f t="shared" si="2"/>
        <v>30250240.797183998</v>
      </c>
    </row>
    <row r="94" spans="1:8" x14ac:dyDescent="0.25">
      <c r="B94" s="119">
        <v>5</v>
      </c>
      <c r="C94" s="124">
        <v>45139</v>
      </c>
      <c r="D94" s="133">
        <f>SUMIF('Payment Buildup'!A$4:A$34,"="&amp;'Payment Schedule'!A94,'Payment Buildup'!P$4:P$34)</f>
        <v>0</v>
      </c>
      <c r="E94" s="134">
        <f>SUMIF('Payment Buildup'!A$4:A$34,"="&amp;'Payment Schedule'!A94,'Payment Buildup'!Q$4:Q$34)</f>
        <v>0</v>
      </c>
      <c r="F94" s="134">
        <f t="shared" si="1"/>
        <v>0</v>
      </c>
      <c r="G94" s="134">
        <f t="shared" si="3"/>
        <v>100834.13599061333</v>
      </c>
      <c r="H94" s="136">
        <f t="shared" si="2"/>
        <v>30351074.93317461</v>
      </c>
    </row>
    <row r="95" spans="1:8" x14ac:dyDescent="0.25">
      <c r="B95" s="119">
        <v>5</v>
      </c>
      <c r="C95" s="124">
        <v>45170</v>
      </c>
      <c r="D95" s="133">
        <f>SUMIF('Payment Buildup'!A$4:A$34,"="&amp;'Payment Schedule'!A95,'Payment Buildup'!P$4:P$34)</f>
        <v>0</v>
      </c>
      <c r="E95" s="134">
        <f>SUMIF('Payment Buildup'!A$4:A$34,"="&amp;'Payment Schedule'!A95,'Payment Buildup'!Q$4:Q$34)</f>
        <v>0</v>
      </c>
      <c r="F95" s="134">
        <f t="shared" si="1"/>
        <v>0</v>
      </c>
      <c r="G95" s="134">
        <f t="shared" si="3"/>
        <v>101170.24977724871</v>
      </c>
      <c r="H95" s="136">
        <f t="shared" si="2"/>
        <v>30452245.18295186</v>
      </c>
    </row>
    <row r="96" spans="1:8" x14ac:dyDescent="0.25">
      <c r="B96" s="119">
        <v>5</v>
      </c>
      <c r="C96" s="124">
        <v>45200</v>
      </c>
      <c r="D96" s="133">
        <f>SUMIF('Payment Buildup'!A$4:A$34,"="&amp;'Payment Schedule'!A96,'Payment Buildup'!P$4:P$34)</f>
        <v>0</v>
      </c>
      <c r="E96" s="134">
        <f>SUMIF('Payment Buildup'!A$4:A$34,"="&amp;'Payment Schedule'!A96,'Payment Buildup'!Q$4:Q$34)</f>
        <v>0</v>
      </c>
      <c r="F96" s="134">
        <f t="shared" si="1"/>
        <v>0</v>
      </c>
      <c r="G96" s="134">
        <f t="shared" si="3"/>
        <v>101507.48394317288</v>
      </c>
      <c r="H96" s="136">
        <f t="shared" si="2"/>
        <v>30553752.666895032</v>
      </c>
    </row>
    <row r="97" spans="1:8" x14ac:dyDescent="0.25">
      <c r="B97" s="119">
        <v>5</v>
      </c>
      <c r="C97" s="124">
        <v>45231</v>
      </c>
      <c r="D97" s="133">
        <f>SUMIF('Payment Buildup'!A$4:A$34,"="&amp;'Payment Schedule'!A97,'Payment Buildup'!P$4:P$34)</f>
        <v>0</v>
      </c>
      <c r="E97" s="134">
        <f>SUMIF('Payment Buildup'!A$4:A$34,"="&amp;'Payment Schedule'!A97,'Payment Buildup'!Q$4:Q$34)</f>
        <v>0</v>
      </c>
      <c r="F97" s="134">
        <f t="shared" si="1"/>
        <v>0</v>
      </c>
      <c r="G97" s="134">
        <f t="shared" si="3"/>
        <v>101845.84222298344</v>
      </c>
      <c r="H97" s="136">
        <f t="shared" si="2"/>
        <v>30655598.509118017</v>
      </c>
    </row>
    <row r="98" spans="1:8" x14ac:dyDescent="0.25">
      <c r="B98" s="119">
        <v>5</v>
      </c>
      <c r="C98" s="124">
        <v>45261</v>
      </c>
      <c r="D98" s="133">
        <f>SUMIF('Payment Buildup'!A$4:A$34,"="&amp;'Payment Schedule'!A98,'Payment Buildup'!P$4:P$34)</f>
        <v>0</v>
      </c>
      <c r="E98" s="134">
        <f>SUMIF('Payment Buildup'!A$4:A$34,"="&amp;'Payment Schedule'!A98,'Payment Buildup'!Q$4:Q$34)</f>
        <v>0</v>
      </c>
      <c r="F98" s="134">
        <f t="shared" si="1"/>
        <v>0</v>
      </c>
      <c r="G98" s="134">
        <f t="shared" si="3"/>
        <v>102185.32836372673</v>
      </c>
      <c r="H98" s="136">
        <f t="shared" si="2"/>
        <v>30757783.837481745</v>
      </c>
    </row>
    <row r="99" spans="1:8" x14ac:dyDescent="0.25">
      <c r="B99" s="119">
        <v>5</v>
      </c>
      <c r="C99" s="124">
        <v>45292</v>
      </c>
      <c r="D99" s="133">
        <f>SUMIF('Payment Buildup'!A$4:A$34,"="&amp;'Payment Schedule'!A99,'Payment Buildup'!P$4:P$34)</f>
        <v>0</v>
      </c>
      <c r="E99" s="134">
        <f>SUMIF('Payment Buildup'!A$4:A$34,"="&amp;'Payment Schedule'!A99,'Payment Buildup'!Q$4:Q$34)</f>
        <v>0</v>
      </c>
      <c r="F99" s="134">
        <f t="shared" si="1"/>
        <v>0</v>
      </c>
      <c r="G99" s="134">
        <f t="shared" si="3"/>
        <v>102525.94612493916</v>
      </c>
      <c r="H99" s="136">
        <f t="shared" si="2"/>
        <v>30860309.783606682</v>
      </c>
    </row>
    <row r="100" spans="1:8" x14ac:dyDescent="0.25">
      <c r="B100" s="119">
        <v>6</v>
      </c>
      <c r="C100" s="124">
        <v>45323</v>
      </c>
      <c r="D100" s="133">
        <f>SUMIF('Payment Buildup'!A$4:A$34,"="&amp;'Payment Schedule'!A100,'Payment Buildup'!P$4:P$34)</f>
        <v>0</v>
      </c>
      <c r="E100" s="134">
        <f>SUMIF('Payment Buildup'!A$4:A$34,"="&amp;'Payment Schedule'!A100,'Payment Buildup'!Q$4:Q$34)</f>
        <v>0</v>
      </c>
      <c r="F100" s="134">
        <f t="shared" si="1"/>
        <v>0</v>
      </c>
      <c r="G100" s="134">
        <f t="shared" si="3"/>
        <v>102867.69927868895</v>
      </c>
      <c r="H100" s="136">
        <f t="shared" si="2"/>
        <v>30963177.482885372</v>
      </c>
    </row>
    <row r="101" spans="1:8" x14ac:dyDescent="0.25">
      <c r="B101" s="119">
        <v>6</v>
      </c>
      <c r="C101" s="124">
        <v>45352</v>
      </c>
      <c r="D101" s="133">
        <f>SUMIF('Payment Buildup'!A$4:A$34,"="&amp;'Payment Schedule'!A101,'Payment Buildup'!P$4:P$34)</f>
        <v>0</v>
      </c>
      <c r="E101" s="134">
        <f>SUMIF('Payment Buildup'!A$4:A$34,"="&amp;'Payment Schedule'!A101,'Payment Buildup'!Q$4:Q$34)</f>
        <v>0</v>
      </c>
      <c r="F101" s="134">
        <f t="shared" si="1"/>
        <v>0</v>
      </c>
      <c r="G101" s="134">
        <f t="shared" si="3"/>
        <v>103210.59160961791</v>
      </c>
      <c r="H101" s="136">
        <f t="shared" si="2"/>
        <v>31066388.074494991</v>
      </c>
    </row>
    <row r="102" spans="1:8" x14ac:dyDescent="0.25">
      <c r="B102" s="119">
        <v>6</v>
      </c>
      <c r="C102" s="124">
        <v>45383</v>
      </c>
      <c r="D102" s="133">
        <f>SUMIF('Payment Buildup'!A$4:A$34,"="&amp;'Payment Schedule'!A102,'Payment Buildup'!P$4:P$34)</f>
        <v>0</v>
      </c>
      <c r="E102" s="134">
        <f>SUMIF('Payment Buildup'!A$4:A$34,"="&amp;'Payment Schedule'!A102,'Payment Buildup'!Q$4:Q$34)</f>
        <v>0</v>
      </c>
      <c r="F102" s="134">
        <f t="shared" si="1"/>
        <v>0</v>
      </c>
      <c r="G102" s="134">
        <f t="shared" si="3"/>
        <v>103554.62691498331</v>
      </c>
      <c r="H102" s="136">
        <f t="shared" si="2"/>
        <v>31169942.701409973</v>
      </c>
    </row>
    <row r="103" spans="1:8" x14ac:dyDescent="0.25">
      <c r="B103" s="119">
        <v>6</v>
      </c>
      <c r="C103" s="124">
        <v>45413</v>
      </c>
      <c r="D103" s="133">
        <f>SUMIF('Payment Buildup'!A$4:A$34,"="&amp;'Payment Schedule'!A103,'Payment Buildup'!P$4:P$34)</f>
        <v>0</v>
      </c>
      <c r="E103" s="134">
        <f>SUMIF('Payment Buildup'!A$4:A$34,"="&amp;'Payment Schedule'!A103,'Payment Buildup'!Q$4:Q$34)</f>
        <v>0</v>
      </c>
      <c r="F103" s="134">
        <f t="shared" si="1"/>
        <v>0</v>
      </c>
      <c r="G103" s="134">
        <f t="shared" si="3"/>
        <v>103899.80900469991</v>
      </c>
      <c r="H103" s="136">
        <f t="shared" si="2"/>
        <v>31273842.510414675</v>
      </c>
    </row>
    <row r="104" spans="1:8" x14ac:dyDescent="0.25">
      <c r="A104" s="119">
        <v>6</v>
      </c>
      <c r="B104" s="119">
        <v>6</v>
      </c>
      <c r="C104" s="124">
        <v>45444</v>
      </c>
      <c r="D104" s="133">
        <f>SUMIF('Payment Buildup'!A$4:A$34,"="&amp;'Payment Schedule'!A104,'Payment Buildup'!P$4:P$34)</f>
        <v>3056873.8809940754</v>
      </c>
      <c r="E104" s="134">
        <f>SUMIF('Payment Buildup'!A$4:A$34,"="&amp;'Payment Schedule'!A104,'Payment Buildup'!Q$4:Q$34)</f>
        <v>665413.18007187441</v>
      </c>
      <c r="F104" s="134">
        <f t="shared" ref="F104:F167" si="4">D104-E104</f>
        <v>2391460.7009222009</v>
      </c>
      <c r="G104" s="134">
        <f t="shared" si="3"/>
        <v>104246.14170138225</v>
      </c>
      <c r="H104" s="136">
        <f t="shared" ref="H104:H167" si="5">H103+G104-F104</f>
        <v>28986627.951193854</v>
      </c>
    </row>
    <row r="105" spans="1:8" x14ac:dyDescent="0.25">
      <c r="B105" s="119">
        <v>6</v>
      </c>
      <c r="C105" s="124">
        <v>45474</v>
      </c>
      <c r="D105" s="133">
        <f>SUMIF('Payment Buildup'!A$4:A$34,"="&amp;'Payment Schedule'!A105,'Payment Buildup'!P$4:P$34)</f>
        <v>0</v>
      </c>
      <c r="E105" s="134">
        <f>SUMIF('Payment Buildup'!A$4:A$34,"="&amp;'Payment Schedule'!A105,'Payment Buildup'!Q$4:Q$34)</f>
        <v>0</v>
      </c>
      <c r="F105" s="134">
        <f t="shared" si="4"/>
        <v>0</v>
      </c>
      <c r="G105" s="134">
        <f t="shared" si="3"/>
        <v>96622.093170646185</v>
      </c>
      <c r="H105" s="136">
        <f t="shared" si="5"/>
        <v>29083250.044364501</v>
      </c>
    </row>
    <row r="106" spans="1:8" x14ac:dyDescent="0.25">
      <c r="B106" s="119">
        <v>6</v>
      </c>
      <c r="C106" s="124">
        <v>45505</v>
      </c>
      <c r="D106" s="133">
        <f>SUMIF('Payment Buildup'!A$4:A$34,"="&amp;'Payment Schedule'!A106,'Payment Buildup'!P$4:P$34)</f>
        <v>0</v>
      </c>
      <c r="E106" s="134">
        <f>SUMIF('Payment Buildup'!A$4:A$34,"="&amp;'Payment Schedule'!A106,'Payment Buildup'!Q$4:Q$34)</f>
        <v>0</v>
      </c>
      <c r="F106" s="134">
        <f t="shared" si="4"/>
        <v>0</v>
      </c>
      <c r="G106" s="134">
        <f t="shared" si="3"/>
        <v>96944.166814548342</v>
      </c>
      <c r="H106" s="136">
        <f t="shared" si="5"/>
        <v>29180194.211179048</v>
      </c>
    </row>
    <row r="107" spans="1:8" x14ac:dyDescent="0.25">
      <c r="B107" s="119">
        <v>6</v>
      </c>
      <c r="C107" s="124">
        <v>45536</v>
      </c>
      <c r="D107" s="133">
        <f>SUMIF('Payment Buildup'!A$4:A$34,"="&amp;'Payment Schedule'!A107,'Payment Buildup'!P$4:P$34)</f>
        <v>0</v>
      </c>
      <c r="E107" s="134">
        <f>SUMIF('Payment Buildup'!A$4:A$34,"="&amp;'Payment Schedule'!A107,'Payment Buildup'!Q$4:Q$34)</f>
        <v>0</v>
      </c>
      <c r="F107" s="134">
        <f t="shared" si="4"/>
        <v>0</v>
      </c>
      <c r="G107" s="134">
        <f t="shared" si="3"/>
        <v>97267.314037263495</v>
      </c>
      <c r="H107" s="136">
        <f t="shared" si="5"/>
        <v>29277461.525216311</v>
      </c>
    </row>
    <row r="108" spans="1:8" x14ac:dyDescent="0.25">
      <c r="B108" s="119">
        <v>6</v>
      </c>
      <c r="C108" s="124">
        <v>45566</v>
      </c>
      <c r="D108" s="133">
        <f>SUMIF('Payment Buildup'!A$4:A$34,"="&amp;'Payment Schedule'!A108,'Payment Buildup'!P$4:P$34)</f>
        <v>0</v>
      </c>
      <c r="E108" s="134">
        <f>SUMIF('Payment Buildup'!A$4:A$34,"="&amp;'Payment Schedule'!A108,'Payment Buildup'!Q$4:Q$34)</f>
        <v>0</v>
      </c>
      <c r="F108" s="134">
        <f t="shared" si="4"/>
        <v>0</v>
      </c>
      <c r="G108" s="134">
        <f t="shared" si="3"/>
        <v>97591.53841738771</v>
      </c>
      <c r="H108" s="136">
        <f t="shared" si="5"/>
        <v>29375053.063633699</v>
      </c>
    </row>
    <row r="109" spans="1:8" x14ac:dyDescent="0.25">
      <c r="B109" s="119">
        <v>6</v>
      </c>
      <c r="C109" s="124">
        <v>45597</v>
      </c>
      <c r="D109" s="133">
        <f>SUMIF('Payment Buildup'!A$4:A$34,"="&amp;'Payment Schedule'!A109,'Payment Buildup'!P$4:P$34)</f>
        <v>0</v>
      </c>
      <c r="E109" s="134">
        <f>SUMIF('Payment Buildup'!A$4:A$34,"="&amp;'Payment Schedule'!A109,'Payment Buildup'!Q$4:Q$34)</f>
        <v>0</v>
      </c>
      <c r="F109" s="134">
        <f t="shared" si="4"/>
        <v>0</v>
      </c>
      <c r="G109" s="134">
        <f t="shared" si="3"/>
        <v>97916.843545445663</v>
      </c>
      <c r="H109" s="136">
        <f t="shared" si="5"/>
        <v>29472969.907179143</v>
      </c>
    </row>
    <row r="110" spans="1:8" x14ac:dyDescent="0.25">
      <c r="B110" s="119">
        <v>6</v>
      </c>
      <c r="C110" s="124">
        <v>45627</v>
      </c>
      <c r="D110" s="133">
        <f>SUMIF('Payment Buildup'!A$4:A$34,"="&amp;'Payment Schedule'!A110,'Payment Buildup'!P$4:P$34)</f>
        <v>0</v>
      </c>
      <c r="E110" s="134">
        <f>SUMIF('Payment Buildup'!A$4:A$34,"="&amp;'Payment Schedule'!A110,'Payment Buildup'!Q$4:Q$34)</f>
        <v>0</v>
      </c>
      <c r="F110" s="134">
        <f t="shared" si="4"/>
        <v>0</v>
      </c>
      <c r="G110" s="134">
        <f t="shared" si="3"/>
        <v>98243.233023930487</v>
      </c>
      <c r="H110" s="136">
        <f t="shared" si="5"/>
        <v>29571213.140203074</v>
      </c>
    </row>
    <row r="111" spans="1:8" x14ac:dyDescent="0.25">
      <c r="B111" s="119">
        <v>6</v>
      </c>
      <c r="C111" s="124">
        <v>45658</v>
      </c>
      <c r="D111" s="133">
        <f>SUMIF('Payment Buildup'!A$4:A$34,"="&amp;'Payment Schedule'!A111,'Payment Buildup'!P$4:P$34)</f>
        <v>0</v>
      </c>
      <c r="E111" s="134">
        <f>SUMIF('Payment Buildup'!A$4:A$34,"="&amp;'Payment Schedule'!A111,'Payment Buildup'!Q$4:Q$34)</f>
        <v>0</v>
      </c>
      <c r="F111" s="134">
        <f t="shared" si="4"/>
        <v>0</v>
      </c>
      <c r="G111" s="134">
        <f t="shared" si="3"/>
        <v>98570.710467343582</v>
      </c>
      <c r="H111" s="136">
        <f t="shared" si="5"/>
        <v>29669783.850670416</v>
      </c>
    </row>
    <row r="112" spans="1:8" x14ac:dyDescent="0.25">
      <c r="B112" s="119">
        <v>7</v>
      </c>
      <c r="C112" s="124">
        <v>45689</v>
      </c>
      <c r="D112" s="133">
        <f>SUMIF('Payment Buildup'!A$4:A$34,"="&amp;'Payment Schedule'!A112,'Payment Buildup'!P$4:P$34)</f>
        <v>0</v>
      </c>
      <c r="E112" s="134">
        <f>SUMIF('Payment Buildup'!A$4:A$34,"="&amp;'Payment Schedule'!A112,'Payment Buildup'!Q$4:Q$34)</f>
        <v>0</v>
      </c>
      <c r="F112" s="134">
        <f t="shared" si="4"/>
        <v>0</v>
      </c>
      <c r="G112" s="134">
        <f t="shared" si="3"/>
        <v>98899.279502234727</v>
      </c>
      <c r="H112" s="136">
        <f t="shared" si="5"/>
        <v>29768683.130172651</v>
      </c>
    </row>
    <row r="113" spans="1:8" x14ac:dyDescent="0.25">
      <c r="B113" s="119">
        <v>7</v>
      </c>
      <c r="C113" s="124">
        <v>45717</v>
      </c>
      <c r="D113" s="133">
        <f>SUMIF('Payment Buildup'!A$4:A$34,"="&amp;'Payment Schedule'!A113,'Payment Buildup'!P$4:P$34)</f>
        <v>0</v>
      </c>
      <c r="E113" s="134">
        <f>SUMIF('Payment Buildup'!A$4:A$34,"="&amp;'Payment Schedule'!A113,'Payment Buildup'!Q$4:Q$34)</f>
        <v>0</v>
      </c>
      <c r="F113" s="134">
        <f t="shared" si="4"/>
        <v>0</v>
      </c>
      <c r="G113" s="134">
        <f t="shared" si="3"/>
        <v>99228.943767242177</v>
      </c>
      <c r="H113" s="136">
        <f t="shared" si="5"/>
        <v>29867912.073939893</v>
      </c>
    </row>
    <row r="114" spans="1:8" x14ac:dyDescent="0.25">
      <c r="B114" s="119">
        <v>7</v>
      </c>
      <c r="C114" s="124">
        <v>45748</v>
      </c>
      <c r="D114" s="133">
        <f>SUMIF('Payment Buildup'!A$4:A$34,"="&amp;'Payment Schedule'!A114,'Payment Buildup'!P$4:P$34)</f>
        <v>0</v>
      </c>
      <c r="E114" s="134">
        <f>SUMIF('Payment Buildup'!A$4:A$34,"="&amp;'Payment Schedule'!A114,'Payment Buildup'!Q$4:Q$34)</f>
        <v>0</v>
      </c>
      <c r="F114" s="134">
        <f t="shared" si="4"/>
        <v>0</v>
      </c>
      <c r="G114" s="134">
        <f t="shared" si="3"/>
        <v>99559.706913132977</v>
      </c>
      <c r="H114" s="136">
        <f t="shared" si="5"/>
        <v>29967471.780853026</v>
      </c>
    </row>
    <row r="115" spans="1:8" x14ac:dyDescent="0.25">
      <c r="B115" s="119">
        <v>7</v>
      </c>
      <c r="C115" s="124">
        <v>45778</v>
      </c>
      <c r="D115" s="133">
        <f>SUMIF('Payment Buildup'!A$4:A$34,"="&amp;'Payment Schedule'!A115,'Payment Buildup'!P$4:P$34)</f>
        <v>0</v>
      </c>
      <c r="E115" s="134">
        <f>SUMIF('Payment Buildup'!A$4:A$34,"="&amp;'Payment Schedule'!A115,'Payment Buildup'!Q$4:Q$34)</f>
        <v>0</v>
      </c>
      <c r="F115" s="134">
        <f t="shared" si="4"/>
        <v>0</v>
      </c>
      <c r="G115" s="134">
        <f t="shared" si="3"/>
        <v>99891.572602843429</v>
      </c>
      <c r="H115" s="136">
        <f t="shared" si="5"/>
        <v>30067363.353455868</v>
      </c>
    </row>
    <row r="116" spans="1:8" x14ac:dyDescent="0.25">
      <c r="A116" s="119">
        <v>7</v>
      </c>
      <c r="B116" s="119">
        <v>7</v>
      </c>
      <c r="C116" s="124">
        <v>45809</v>
      </c>
      <c r="D116" s="133">
        <f>SUMIF('Payment Buildup'!A$4:A$34,"="&amp;'Payment Schedule'!A116,'Payment Buildup'!P$4:P$34)</f>
        <v>3148580.0974238976</v>
      </c>
      <c r="E116" s="134">
        <f>SUMIF('Payment Buildup'!A$4:A$34,"="&amp;'Payment Schedule'!A116,'Payment Buildup'!Q$4:Q$34)</f>
        <v>685375.57547403057</v>
      </c>
      <c r="F116" s="134">
        <f t="shared" si="4"/>
        <v>2463204.5219498668</v>
      </c>
      <c r="G116" s="134">
        <f t="shared" si="3"/>
        <v>100224.54451151956</v>
      </c>
      <c r="H116" s="136">
        <f t="shared" si="5"/>
        <v>27704383.376017518</v>
      </c>
    </row>
    <row r="117" spans="1:8" x14ac:dyDescent="0.25">
      <c r="B117" s="119">
        <v>7</v>
      </c>
      <c r="C117" s="124">
        <v>45839</v>
      </c>
      <c r="D117" s="133">
        <f>SUMIF('Payment Buildup'!A$4:A$34,"="&amp;'Payment Schedule'!A117,'Payment Buildup'!P$4:P$34)</f>
        <v>0</v>
      </c>
      <c r="E117" s="134">
        <f>SUMIF('Payment Buildup'!A$4:A$34,"="&amp;'Payment Schedule'!A117,'Payment Buildup'!Q$4:Q$34)</f>
        <v>0</v>
      </c>
      <c r="F117" s="134">
        <f t="shared" si="4"/>
        <v>0</v>
      </c>
      <c r="G117" s="134">
        <f t="shared" si="3"/>
        <v>92347.944586725062</v>
      </c>
      <c r="H117" s="136">
        <f t="shared" si="5"/>
        <v>27796731.320604242</v>
      </c>
    </row>
    <row r="118" spans="1:8" x14ac:dyDescent="0.25">
      <c r="B118" s="119">
        <v>7</v>
      </c>
      <c r="C118" s="124">
        <v>45870</v>
      </c>
      <c r="D118" s="133">
        <f>SUMIF('Payment Buildup'!A$4:A$34,"="&amp;'Payment Schedule'!A118,'Payment Buildup'!P$4:P$34)</f>
        <v>0</v>
      </c>
      <c r="E118" s="134">
        <f>SUMIF('Payment Buildup'!A$4:A$34,"="&amp;'Payment Schedule'!A118,'Payment Buildup'!Q$4:Q$34)</f>
        <v>0</v>
      </c>
      <c r="F118" s="134">
        <f t="shared" si="4"/>
        <v>0</v>
      </c>
      <c r="G118" s="134">
        <f t="shared" si="3"/>
        <v>92655.771068680813</v>
      </c>
      <c r="H118" s="136">
        <f t="shared" si="5"/>
        <v>27889387.091672923</v>
      </c>
    </row>
    <row r="119" spans="1:8" x14ac:dyDescent="0.25">
      <c r="B119" s="119">
        <v>7</v>
      </c>
      <c r="C119" s="124">
        <v>45901</v>
      </c>
      <c r="D119" s="133">
        <f>SUMIF('Payment Buildup'!A$4:A$34,"="&amp;'Payment Schedule'!A119,'Payment Buildup'!P$4:P$34)</f>
        <v>0</v>
      </c>
      <c r="E119" s="134">
        <f>SUMIF('Payment Buildup'!A$4:A$34,"="&amp;'Payment Schedule'!A119,'Payment Buildup'!Q$4:Q$34)</f>
        <v>0</v>
      </c>
      <c r="F119" s="134">
        <f t="shared" si="4"/>
        <v>0</v>
      </c>
      <c r="G119" s="134">
        <f t="shared" si="3"/>
        <v>92964.623638909747</v>
      </c>
      <c r="H119" s="136">
        <f t="shared" si="5"/>
        <v>27982351.715311833</v>
      </c>
    </row>
    <row r="120" spans="1:8" x14ac:dyDescent="0.25">
      <c r="B120" s="119">
        <v>7</v>
      </c>
      <c r="C120" s="124">
        <v>45931</v>
      </c>
      <c r="D120" s="133">
        <f>SUMIF('Payment Buildup'!A$4:A$34,"="&amp;'Payment Schedule'!A120,'Payment Buildup'!P$4:P$34)</f>
        <v>0</v>
      </c>
      <c r="E120" s="134">
        <f>SUMIF('Payment Buildup'!A$4:A$34,"="&amp;'Payment Schedule'!A120,'Payment Buildup'!Q$4:Q$34)</f>
        <v>0</v>
      </c>
      <c r="F120" s="134">
        <f t="shared" si="4"/>
        <v>0</v>
      </c>
      <c r="G120" s="134">
        <f t="shared" si="3"/>
        <v>93274.50571770611</v>
      </c>
      <c r="H120" s="136">
        <f t="shared" si="5"/>
        <v>28075626.221029539</v>
      </c>
    </row>
    <row r="121" spans="1:8" x14ac:dyDescent="0.25">
      <c r="B121" s="119">
        <v>7</v>
      </c>
      <c r="C121" s="124">
        <v>45962</v>
      </c>
      <c r="D121" s="133">
        <f>SUMIF('Payment Buildup'!A$4:A$34,"="&amp;'Payment Schedule'!A121,'Payment Buildup'!P$4:P$34)</f>
        <v>0</v>
      </c>
      <c r="E121" s="134">
        <f>SUMIF('Payment Buildup'!A$4:A$34,"="&amp;'Payment Schedule'!A121,'Payment Buildup'!Q$4:Q$34)</f>
        <v>0</v>
      </c>
      <c r="F121" s="134">
        <f t="shared" si="4"/>
        <v>0</v>
      </c>
      <c r="G121" s="134">
        <f t="shared" si="3"/>
        <v>93585.42073676514</v>
      </c>
      <c r="H121" s="136">
        <f t="shared" si="5"/>
        <v>28169211.641766302</v>
      </c>
    </row>
    <row r="122" spans="1:8" x14ac:dyDescent="0.25">
      <c r="B122" s="119">
        <v>7</v>
      </c>
      <c r="C122" s="124">
        <v>45992</v>
      </c>
      <c r="D122" s="133">
        <f>SUMIF('Payment Buildup'!A$4:A$34,"="&amp;'Payment Schedule'!A122,'Payment Buildup'!P$4:P$34)</f>
        <v>0</v>
      </c>
      <c r="E122" s="134">
        <f>SUMIF('Payment Buildup'!A$4:A$34,"="&amp;'Payment Schedule'!A122,'Payment Buildup'!Q$4:Q$34)</f>
        <v>0</v>
      </c>
      <c r="F122" s="134">
        <f t="shared" si="4"/>
        <v>0</v>
      </c>
      <c r="G122" s="134">
        <f t="shared" si="3"/>
        <v>93897.372139221014</v>
      </c>
      <c r="H122" s="136">
        <f t="shared" si="5"/>
        <v>28263109.013905521</v>
      </c>
    </row>
    <row r="123" spans="1:8" x14ac:dyDescent="0.25">
      <c r="B123" s="119">
        <v>7</v>
      </c>
      <c r="C123" s="124">
        <v>46023</v>
      </c>
      <c r="D123" s="133">
        <f>SUMIF('Payment Buildup'!A$4:A$34,"="&amp;'Payment Schedule'!A123,'Payment Buildup'!P$4:P$34)</f>
        <v>0</v>
      </c>
      <c r="E123" s="134">
        <f>SUMIF('Payment Buildup'!A$4:A$34,"="&amp;'Payment Schedule'!A123,'Payment Buildup'!Q$4:Q$34)</f>
        <v>0</v>
      </c>
      <c r="F123" s="134">
        <f t="shared" si="4"/>
        <v>0</v>
      </c>
      <c r="G123" s="134">
        <f t="shared" si="3"/>
        <v>94210.363379685077</v>
      </c>
      <c r="H123" s="136">
        <f t="shared" si="5"/>
        <v>28357319.377285205</v>
      </c>
    </row>
    <row r="124" spans="1:8" x14ac:dyDescent="0.25">
      <c r="B124" s="119">
        <v>8</v>
      </c>
      <c r="C124" s="124">
        <v>46054</v>
      </c>
      <c r="D124" s="133">
        <f>SUMIF('Payment Buildup'!A$4:A$34,"="&amp;'Payment Schedule'!A124,'Payment Buildup'!P$4:P$34)</f>
        <v>0</v>
      </c>
      <c r="E124" s="134">
        <f>SUMIF('Payment Buildup'!A$4:A$34,"="&amp;'Payment Schedule'!A124,'Payment Buildup'!Q$4:Q$34)</f>
        <v>0</v>
      </c>
      <c r="F124" s="134">
        <f t="shared" si="4"/>
        <v>0</v>
      </c>
      <c r="G124" s="134">
        <f t="shared" si="3"/>
        <v>94524.397924284029</v>
      </c>
      <c r="H124" s="136">
        <f t="shared" si="5"/>
        <v>28451843.77520949</v>
      </c>
    </row>
    <row r="125" spans="1:8" x14ac:dyDescent="0.25">
      <c r="B125" s="119">
        <v>8</v>
      </c>
      <c r="C125" s="124">
        <v>46082</v>
      </c>
      <c r="D125" s="133">
        <f>SUMIF('Payment Buildup'!A$4:A$34,"="&amp;'Payment Schedule'!A125,'Payment Buildup'!P$4:P$34)</f>
        <v>0</v>
      </c>
      <c r="E125" s="134">
        <f>SUMIF('Payment Buildup'!A$4:A$34,"="&amp;'Payment Schedule'!A125,'Payment Buildup'!Q$4:Q$34)</f>
        <v>0</v>
      </c>
      <c r="F125" s="134">
        <f t="shared" si="4"/>
        <v>0</v>
      </c>
      <c r="G125" s="134">
        <f t="shared" si="3"/>
        <v>94839.479250698307</v>
      </c>
      <c r="H125" s="136">
        <f t="shared" si="5"/>
        <v>28546683.254460189</v>
      </c>
    </row>
    <row r="126" spans="1:8" x14ac:dyDescent="0.25">
      <c r="B126" s="119">
        <v>8</v>
      </c>
      <c r="C126" s="124">
        <v>46113</v>
      </c>
      <c r="D126" s="133">
        <f>SUMIF('Payment Buildup'!A$4:A$34,"="&amp;'Payment Schedule'!A126,'Payment Buildup'!P$4:P$34)</f>
        <v>0</v>
      </c>
      <c r="E126" s="134">
        <f>SUMIF('Payment Buildup'!A$4:A$34,"="&amp;'Payment Schedule'!A126,'Payment Buildup'!Q$4:Q$34)</f>
        <v>0</v>
      </c>
      <c r="F126" s="134">
        <f t="shared" si="4"/>
        <v>0</v>
      </c>
      <c r="G126" s="134">
        <f t="shared" si="3"/>
        <v>95155.610848200638</v>
      </c>
      <c r="H126" s="136">
        <f t="shared" si="5"/>
        <v>28641838.865308389</v>
      </c>
    </row>
    <row r="127" spans="1:8" x14ac:dyDescent="0.25">
      <c r="B127" s="119">
        <v>8</v>
      </c>
      <c r="C127" s="124">
        <v>46143</v>
      </c>
      <c r="D127" s="133">
        <f>SUMIF('Payment Buildup'!A$4:A$34,"="&amp;'Payment Schedule'!A127,'Payment Buildup'!P$4:P$34)</f>
        <v>0</v>
      </c>
      <c r="E127" s="134">
        <f>SUMIF('Payment Buildup'!A$4:A$34,"="&amp;'Payment Schedule'!A127,'Payment Buildup'!Q$4:Q$34)</f>
        <v>0</v>
      </c>
      <c r="F127" s="134">
        <f t="shared" si="4"/>
        <v>0</v>
      </c>
      <c r="G127" s="134">
        <f t="shared" si="3"/>
        <v>95472.796217694631</v>
      </c>
      <c r="H127" s="136">
        <f t="shared" si="5"/>
        <v>28737311.661526084</v>
      </c>
    </row>
    <row r="128" spans="1:8" x14ac:dyDescent="0.25">
      <c r="A128" s="119">
        <v>8</v>
      </c>
      <c r="B128" s="119">
        <v>8</v>
      </c>
      <c r="C128" s="124">
        <v>46174</v>
      </c>
      <c r="D128" s="133">
        <f>SUMIF('Payment Buildup'!A$4:A$34,"="&amp;'Payment Schedule'!A128,'Payment Buildup'!P$4:P$34)</f>
        <v>3243037.5003466145</v>
      </c>
      <c r="E128" s="134">
        <f>SUMIF('Payment Buildup'!A$4:A$34,"="&amp;'Payment Schedule'!A128,'Payment Buildup'!Q$4:Q$34)</f>
        <v>705936.84273825143</v>
      </c>
      <c r="F128" s="134">
        <f t="shared" si="4"/>
        <v>2537100.6576083628</v>
      </c>
      <c r="G128" s="134">
        <f t="shared" si="3"/>
        <v>95791.038871753626</v>
      </c>
      <c r="H128" s="136">
        <f t="shared" si="5"/>
        <v>26296002.042789474</v>
      </c>
    </row>
    <row r="129" spans="1:8" x14ac:dyDescent="0.25">
      <c r="B129" s="119">
        <v>8</v>
      </c>
      <c r="C129" s="124">
        <v>46204</v>
      </c>
      <c r="D129" s="133">
        <f>SUMIF('Payment Buildup'!A$4:A$34,"="&amp;'Payment Schedule'!A129,'Payment Buildup'!P$4:P$34)</f>
        <v>0</v>
      </c>
      <c r="E129" s="134">
        <f>SUMIF('Payment Buildup'!A$4:A$34,"="&amp;'Payment Schedule'!A129,'Payment Buildup'!Q$4:Q$34)</f>
        <v>0</v>
      </c>
      <c r="F129" s="134">
        <f t="shared" si="4"/>
        <v>0</v>
      </c>
      <c r="G129" s="134">
        <f t="shared" si="3"/>
        <v>87653.340142631583</v>
      </c>
      <c r="H129" s="136">
        <f t="shared" si="5"/>
        <v>26383655.382932104</v>
      </c>
    </row>
    <row r="130" spans="1:8" x14ac:dyDescent="0.25">
      <c r="B130" s="119">
        <v>8</v>
      </c>
      <c r="C130" s="124">
        <v>46235</v>
      </c>
      <c r="D130" s="133">
        <f>SUMIF('Payment Buildup'!A$4:A$34,"="&amp;'Payment Schedule'!A130,'Payment Buildup'!P$4:P$34)</f>
        <v>0</v>
      </c>
      <c r="E130" s="134">
        <f>SUMIF('Payment Buildup'!A$4:A$34,"="&amp;'Payment Schedule'!A130,'Payment Buildup'!Q$4:Q$34)</f>
        <v>0</v>
      </c>
      <c r="F130" s="134">
        <f t="shared" si="4"/>
        <v>0</v>
      </c>
      <c r="G130" s="134">
        <f t="shared" si="3"/>
        <v>87945.517943107014</v>
      </c>
      <c r="H130" s="136">
        <f t="shared" si="5"/>
        <v>26471600.900875211</v>
      </c>
    </row>
    <row r="131" spans="1:8" x14ac:dyDescent="0.25">
      <c r="B131" s="119">
        <v>8</v>
      </c>
      <c r="C131" s="124">
        <v>46266</v>
      </c>
      <c r="D131" s="133">
        <f>SUMIF('Payment Buildup'!A$4:A$34,"="&amp;'Payment Schedule'!A131,'Payment Buildup'!P$4:P$34)</f>
        <v>0</v>
      </c>
      <c r="E131" s="134">
        <f>SUMIF('Payment Buildup'!A$4:A$34,"="&amp;'Payment Schedule'!A131,'Payment Buildup'!Q$4:Q$34)</f>
        <v>0</v>
      </c>
      <c r="F131" s="134">
        <f t="shared" si="4"/>
        <v>0</v>
      </c>
      <c r="G131" s="134">
        <f t="shared" si="3"/>
        <v>88238.669669584036</v>
      </c>
      <c r="H131" s="136">
        <f t="shared" si="5"/>
        <v>26559839.570544794</v>
      </c>
    </row>
    <row r="132" spans="1:8" x14ac:dyDescent="0.25">
      <c r="B132" s="119">
        <v>8</v>
      </c>
      <c r="C132" s="124">
        <v>46296</v>
      </c>
      <c r="D132" s="133">
        <f>SUMIF('Payment Buildup'!A$4:A$34,"="&amp;'Payment Schedule'!A132,'Payment Buildup'!P$4:P$34)</f>
        <v>0</v>
      </c>
      <c r="E132" s="134">
        <f>SUMIF('Payment Buildup'!A$4:A$34,"="&amp;'Payment Schedule'!A132,'Payment Buildup'!Q$4:Q$34)</f>
        <v>0</v>
      </c>
      <c r="F132" s="134">
        <f t="shared" si="4"/>
        <v>0</v>
      </c>
      <c r="G132" s="134">
        <f t="shared" si="3"/>
        <v>88532.798568482656</v>
      </c>
      <c r="H132" s="136">
        <f t="shared" si="5"/>
        <v>26648372.369113278</v>
      </c>
    </row>
    <row r="133" spans="1:8" x14ac:dyDescent="0.25">
      <c r="B133" s="119">
        <v>8</v>
      </c>
      <c r="C133" s="124">
        <v>46327</v>
      </c>
      <c r="D133" s="133">
        <f>SUMIF('Payment Buildup'!A$4:A$34,"="&amp;'Payment Schedule'!A133,'Payment Buildup'!P$4:P$34)</f>
        <v>0</v>
      </c>
      <c r="E133" s="134">
        <f>SUMIF('Payment Buildup'!A$4:A$34,"="&amp;'Payment Schedule'!A133,'Payment Buildup'!Q$4:Q$34)</f>
        <v>0</v>
      </c>
      <c r="F133" s="134">
        <f t="shared" si="4"/>
        <v>0</v>
      </c>
      <c r="G133" s="134">
        <f t="shared" si="3"/>
        <v>88827.907897044264</v>
      </c>
      <c r="H133" s="136">
        <f t="shared" si="5"/>
        <v>26737200.277010322</v>
      </c>
    </row>
    <row r="134" spans="1:8" x14ac:dyDescent="0.25">
      <c r="B134" s="119">
        <v>8</v>
      </c>
      <c r="C134" s="124">
        <v>46357</v>
      </c>
      <c r="D134" s="133">
        <f>SUMIF('Payment Buildup'!A$4:A$34,"="&amp;'Payment Schedule'!A134,'Payment Buildup'!P$4:P$34)</f>
        <v>0</v>
      </c>
      <c r="E134" s="134">
        <f>SUMIF('Payment Buildup'!A$4:A$34,"="&amp;'Payment Schedule'!A134,'Payment Buildup'!Q$4:Q$34)</f>
        <v>0</v>
      </c>
      <c r="F134" s="134">
        <f t="shared" si="4"/>
        <v>0</v>
      </c>
      <c r="G134" s="134">
        <f t="shared" si="3"/>
        <v>89124.000923367741</v>
      </c>
      <c r="H134" s="136">
        <f t="shared" si="5"/>
        <v>26826324.277933691</v>
      </c>
    </row>
    <row r="135" spans="1:8" x14ac:dyDescent="0.25">
      <c r="B135" s="119">
        <v>8</v>
      </c>
      <c r="C135" s="124">
        <v>46388</v>
      </c>
      <c r="D135" s="133">
        <f>SUMIF('Payment Buildup'!A$4:A$34,"="&amp;'Payment Schedule'!A135,'Payment Buildup'!P$4:P$34)</f>
        <v>0</v>
      </c>
      <c r="E135" s="134">
        <f>SUMIF('Payment Buildup'!A$4:A$34,"="&amp;'Payment Schedule'!A135,'Payment Buildup'!Q$4:Q$34)</f>
        <v>0</v>
      </c>
      <c r="F135" s="134">
        <f t="shared" si="4"/>
        <v>0</v>
      </c>
      <c r="G135" s="134">
        <f t="shared" si="3"/>
        <v>89421.080926445647</v>
      </c>
      <c r="H135" s="136">
        <f t="shared" si="5"/>
        <v>26915745.358860135</v>
      </c>
    </row>
    <row r="136" spans="1:8" x14ac:dyDescent="0.25">
      <c r="B136" s="119">
        <v>9</v>
      </c>
      <c r="C136" s="124">
        <v>46419</v>
      </c>
      <c r="D136" s="133">
        <f>SUMIF('Payment Buildup'!A$4:A$34,"="&amp;'Payment Schedule'!A136,'Payment Buildup'!P$4:P$34)</f>
        <v>0</v>
      </c>
      <c r="E136" s="134">
        <f>SUMIF('Payment Buildup'!A$4:A$34,"="&amp;'Payment Schedule'!A136,'Payment Buildup'!Q$4:Q$34)</f>
        <v>0</v>
      </c>
      <c r="F136" s="134">
        <f t="shared" si="4"/>
        <v>0</v>
      </c>
      <c r="G136" s="134">
        <f t="shared" si="3"/>
        <v>89719.151196200459</v>
      </c>
      <c r="H136" s="136">
        <f t="shared" si="5"/>
        <v>27005464.510056335</v>
      </c>
    </row>
    <row r="137" spans="1:8" x14ac:dyDescent="0.25">
      <c r="B137" s="119">
        <v>9</v>
      </c>
      <c r="C137" s="124">
        <v>46447</v>
      </c>
      <c r="D137" s="133">
        <f>SUMIF('Payment Buildup'!A$4:A$34,"="&amp;'Payment Schedule'!A137,'Payment Buildup'!P$4:P$34)</f>
        <v>0</v>
      </c>
      <c r="E137" s="134">
        <f>SUMIF('Payment Buildup'!A$4:A$34,"="&amp;'Payment Schedule'!A137,'Payment Buildup'!Q$4:Q$34)</f>
        <v>0</v>
      </c>
      <c r="F137" s="134">
        <f t="shared" si="4"/>
        <v>0</v>
      </c>
      <c r="G137" s="134">
        <f t="shared" si="3"/>
        <v>90018.215033521119</v>
      </c>
      <c r="H137" s="136">
        <f t="shared" si="5"/>
        <v>27095482.725089855</v>
      </c>
    </row>
    <row r="138" spans="1:8" x14ac:dyDescent="0.25">
      <c r="B138" s="119">
        <v>9</v>
      </c>
      <c r="C138" s="124">
        <v>46478</v>
      </c>
      <c r="D138" s="133">
        <f>SUMIF('Payment Buildup'!A$4:A$34,"="&amp;'Payment Schedule'!A138,'Payment Buildup'!P$4:P$34)</f>
        <v>0</v>
      </c>
      <c r="E138" s="134">
        <f>SUMIF('Payment Buildup'!A$4:A$34,"="&amp;'Payment Schedule'!A138,'Payment Buildup'!Q$4:Q$34)</f>
        <v>0</v>
      </c>
      <c r="F138" s="134">
        <f t="shared" si="4"/>
        <v>0</v>
      </c>
      <c r="G138" s="134">
        <f t="shared" ref="G138:G201" si="6">H137*(C$6/12)</f>
        <v>90318.275750299523</v>
      </c>
      <c r="H138" s="136">
        <f t="shared" si="5"/>
        <v>27185801.000840154</v>
      </c>
    </row>
    <row r="139" spans="1:8" x14ac:dyDescent="0.25">
      <c r="B139" s="119">
        <v>9</v>
      </c>
      <c r="C139" s="124">
        <v>46508</v>
      </c>
      <c r="D139" s="133">
        <f>SUMIF('Payment Buildup'!A$4:A$34,"="&amp;'Payment Schedule'!A139,'Payment Buildup'!P$4:P$34)</f>
        <v>0</v>
      </c>
      <c r="E139" s="134">
        <f>SUMIF('Payment Buildup'!A$4:A$34,"="&amp;'Payment Schedule'!A139,'Payment Buildup'!Q$4:Q$34)</f>
        <v>0</v>
      </c>
      <c r="F139" s="134">
        <f t="shared" si="4"/>
        <v>0</v>
      </c>
      <c r="G139" s="134">
        <f t="shared" si="6"/>
        <v>90619.336669467186</v>
      </c>
      <c r="H139" s="136">
        <f t="shared" si="5"/>
        <v>27276420.337509621</v>
      </c>
    </row>
    <row r="140" spans="1:8" x14ac:dyDescent="0.25">
      <c r="A140" s="119">
        <v>9</v>
      </c>
      <c r="B140" s="119">
        <v>9</v>
      </c>
      <c r="C140" s="124">
        <v>46539</v>
      </c>
      <c r="D140" s="133">
        <f>SUMIF('Payment Buildup'!A$4:A$34,"="&amp;'Payment Schedule'!A140,'Payment Buildup'!P$4:P$34)</f>
        <v>3340328.6253570137</v>
      </c>
      <c r="E140" s="134">
        <f>SUMIF('Payment Buildup'!A$4:A$34,"="&amp;'Payment Schedule'!A140,'Payment Buildup'!Q$4:Q$34)</f>
        <v>727114.94802039908</v>
      </c>
      <c r="F140" s="134">
        <f t="shared" si="4"/>
        <v>2613213.6773366146</v>
      </c>
      <c r="G140" s="134">
        <f t="shared" si="6"/>
        <v>90921.401125032076</v>
      </c>
      <c r="H140" s="136">
        <f t="shared" si="5"/>
        <v>24754128.061298039</v>
      </c>
    </row>
    <row r="141" spans="1:8" x14ac:dyDescent="0.25">
      <c r="B141" s="119">
        <v>9</v>
      </c>
      <c r="C141" s="124">
        <v>46569</v>
      </c>
      <c r="D141" s="133">
        <f>SUMIF('Payment Buildup'!A$4:A$34,"="&amp;'Payment Schedule'!A141,'Payment Buildup'!P$4:P$34)</f>
        <v>0</v>
      </c>
      <c r="E141" s="134">
        <f>SUMIF('Payment Buildup'!A$4:A$34,"="&amp;'Payment Schedule'!A141,'Payment Buildup'!Q$4:Q$34)</f>
        <v>0</v>
      </c>
      <c r="F141" s="134">
        <f t="shared" si="4"/>
        <v>0</v>
      </c>
      <c r="G141" s="134">
        <f t="shared" si="6"/>
        <v>82513.760204326798</v>
      </c>
      <c r="H141" s="136">
        <f t="shared" si="5"/>
        <v>24836641.821502365</v>
      </c>
    </row>
    <row r="142" spans="1:8" x14ac:dyDescent="0.25">
      <c r="B142" s="119">
        <v>9</v>
      </c>
      <c r="C142" s="124">
        <v>46600</v>
      </c>
      <c r="D142" s="133">
        <f>SUMIF('Payment Buildup'!A$4:A$34,"="&amp;'Payment Schedule'!A142,'Payment Buildup'!P$4:P$34)</f>
        <v>0</v>
      </c>
      <c r="E142" s="134">
        <f>SUMIF('Payment Buildup'!A$4:A$34,"="&amp;'Payment Schedule'!A142,'Payment Buildup'!Q$4:Q$34)</f>
        <v>0</v>
      </c>
      <c r="F142" s="134">
        <f t="shared" si="4"/>
        <v>0</v>
      </c>
      <c r="G142" s="134">
        <f t="shared" si="6"/>
        <v>82788.806071674553</v>
      </c>
      <c r="H142" s="136">
        <f t="shared" si="5"/>
        <v>24919430.627574041</v>
      </c>
    </row>
    <row r="143" spans="1:8" x14ac:dyDescent="0.25">
      <c r="B143" s="119">
        <v>9</v>
      </c>
      <c r="C143" s="124">
        <v>46631</v>
      </c>
      <c r="D143" s="133">
        <f>SUMIF('Payment Buildup'!A$4:A$34,"="&amp;'Payment Schedule'!A143,'Payment Buildup'!P$4:P$34)</f>
        <v>0</v>
      </c>
      <c r="E143" s="134">
        <f>SUMIF('Payment Buildup'!A$4:A$34,"="&amp;'Payment Schedule'!A143,'Payment Buildup'!Q$4:Q$34)</f>
        <v>0</v>
      </c>
      <c r="F143" s="134">
        <f t="shared" si="4"/>
        <v>0</v>
      </c>
      <c r="G143" s="134">
        <f t="shared" si="6"/>
        <v>83064.768758580147</v>
      </c>
      <c r="H143" s="136">
        <f t="shared" si="5"/>
        <v>25002495.396332622</v>
      </c>
    </row>
    <row r="144" spans="1:8" x14ac:dyDescent="0.25">
      <c r="B144" s="119">
        <v>9</v>
      </c>
      <c r="C144" s="124">
        <v>46661</v>
      </c>
      <c r="D144" s="133">
        <f>SUMIF('Payment Buildup'!A$4:A$34,"="&amp;'Payment Schedule'!A144,'Payment Buildup'!P$4:P$34)</f>
        <v>0</v>
      </c>
      <c r="E144" s="134">
        <f>SUMIF('Payment Buildup'!A$4:A$34,"="&amp;'Payment Schedule'!A144,'Payment Buildup'!Q$4:Q$34)</f>
        <v>0</v>
      </c>
      <c r="F144" s="134">
        <f t="shared" si="4"/>
        <v>0</v>
      </c>
      <c r="G144" s="134">
        <f t="shared" si="6"/>
        <v>83341.651321108744</v>
      </c>
      <c r="H144" s="136">
        <f t="shared" si="5"/>
        <v>25085837.047653731</v>
      </c>
    </row>
    <row r="145" spans="1:8" x14ac:dyDescent="0.25">
      <c r="B145" s="119">
        <v>9</v>
      </c>
      <c r="C145" s="124">
        <v>46692</v>
      </c>
      <c r="D145" s="133">
        <f>SUMIF('Payment Buildup'!A$4:A$34,"="&amp;'Payment Schedule'!A145,'Payment Buildup'!P$4:P$34)</f>
        <v>0</v>
      </c>
      <c r="E145" s="134">
        <f>SUMIF('Payment Buildup'!A$4:A$34,"="&amp;'Payment Schedule'!A145,'Payment Buildup'!Q$4:Q$34)</f>
        <v>0</v>
      </c>
      <c r="F145" s="134">
        <f t="shared" si="4"/>
        <v>0</v>
      </c>
      <c r="G145" s="134">
        <f t="shared" si="6"/>
        <v>83619.456825512447</v>
      </c>
      <c r="H145" s="136">
        <f t="shared" si="5"/>
        <v>25169456.504479244</v>
      </c>
    </row>
    <row r="146" spans="1:8" x14ac:dyDescent="0.25">
      <c r="B146" s="119">
        <v>9</v>
      </c>
      <c r="C146" s="124">
        <v>46722</v>
      </c>
      <c r="D146" s="133">
        <f>SUMIF('Payment Buildup'!A$4:A$34,"="&amp;'Payment Schedule'!A146,'Payment Buildup'!P$4:P$34)</f>
        <v>0</v>
      </c>
      <c r="E146" s="134">
        <f>SUMIF('Payment Buildup'!A$4:A$34,"="&amp;'Payment Schedule'!A146,'Payment Buildup'!Q$4:Q$34)</f>
        <v>0</v>
      </c>
      <c r="F146" s="134">
        <f t="shared" si="4"/>
        <v>0</v>
      </c>
      <c r="G146" s="134">
        <f t="shared" si="6"/>
        <v>83898.188348264157</v>
      </c>
      <c r="H146" s="136">
        <f t="shared" si="5"/>
        <v>25253354.692827508</v>
      </c>
    </row>
    <row r="147" spans="1:8" x14ac:dyDescent="0.25">
      <c r="B147" s="119">
        <v>9</v>
      </c>
      <c r="C147" s="124">
        <v>46753</v>
      </c>
      <c r="D147" s="133">
        <f>SUMIF('Payment Buildup'!A$4:A$34,"="&amp;'Payment Schedule'!A147,'Payment Buildup'!P$4:P$34)</f>
        <v>0</v>
      </c>
      <c r="E147" s="134">
        <f>SUMIF('Payment Buildup'!A$4:A$34,"="&amp;'Payment Schedule'!A147,'Payment Buildup'!Q$4:Q$34)</f>
        <v>0</v>
      </c>
      <c r="F147" s="134">
        <f t="shared" si="4"/>
        <v>0</v>
      </c>
      <c r="G147" s="134">
        <f t="shared" si="6"/>
        <v>84177.8489760917</v>
      </c>
      <c r="H147" s="136">
        <f t="shared" si="5"/>
        <v>25337532.541803598</v>
      </c>
    </row>
    <row r="148" spans="1:8" x14ac:dyDescent="0.25">
      <c r="B148" s="119">
        <v>10</v>
      </c>
      <c r="C148" s="124">
        <v>46784</v>
      </c>
      <c r="D148" s="133">
        <f>SUMIF('Payment Buildup'!A$4:A$34,"="&amp;'Payment Schedule'!A148,'Payment Buildup'!P$4:P$34)</f>
        <v>0</v>
      </c>
      <c r="E148" s="134">
        <f>SUMIF('Payment Buildup'!A$4:A$34,"="&amp;'Payment Schedule'!A148,'Payment Buildup'!Q$4:Q$34)</f>
        <v>0</v>
      </c>
      <c r="F148" s="134">
        <f t="shared" si="4"/>
        <v>0</v>
      </c>
      <c r="G148" s="134">
        <f t="shared" si="6"/>
        <v>84458.441806011993</v>
      </c>
      <c r="H148" s="136">
        <f t="shared" si="5"/>
        <v>25421990.983609609</v>
      </c>
    </row>
    <row r="149" spans="1:8" x14ac:dyDescent="0.25">
      <c r="B149" s="119">
        <v>10</v>
      </c>
      <c r="C149" s="124">
        <v>46813</v>
      </c>
      <c r="D149" s="133">
        <f>SUMIF('Payment Buildup'!A$4:A$34,"="&amp;'Payment Schedule'!A149,'Payment Buildup'!P$4:P$34)</f>
        <v>0</v>
      </c>
      <c r="E149" s="134">
        <f>SUMIF('Payment Buildup'!A$4:A$34,"="&amp;'Payment Schedule'!A149,'Payment Buildup'!Q$4:Q$34)</f>
        <v>0</v>
      </c>
      <c r="F149" s="134">
        <f t="shared" si="4"/>
        <v>0</v>
      </c>
      <c r="G149" s="134">
        <f t="shared" si="6"/>
        <v>84739.969945365374</v>
      </c>
      <c r="H149" s="136">
        <f t="shared" si="5"/>
        <v>25506730.953554973</v>
      </c>
    </row>
    <row r="150" spans="1:8" x14ac:dyDescent="0.25">
      <c r="B150" s="119">
        <v>10</v>
      </c>
      <c r="C150" s="124">
        <v>46844</v>
      </c>
      <c r="D150" s="133">
        <f>SUMIF('Payment Buildup'!A$4:A$34,"="&amp;'Payment Schedule'!A150,'Payment Buildup'!P$4:P$34)</f>
        <v>0</v>
      </c>
      <c r="E150" s="134">
        <f>SUMIF('Payment Buildup'!A$4:A$34,"="&amp;'Payment Schedule'!A150,'Payment Buildup'!Q$4:Q$34)</f>
        <v>0</v>
      </c>
      <c r="F150" s="134">
        <f t="shared" si="4"/>
        <v>0</v>
      </c>
      <c r="G150" s="134">
        <f t="shared" si="6"/>
        <v>85022.436511849912</v>
      </c>
      <c r="H150" s="136">
        <f t="shared" si="5"/>
        <v>25591753.390066821</v>
      </c>
    </row>
    <row r="151" spans="1:8" x14ac:dyDescent="0.25">
      <c r="B151" s="119">
        <v>10</v>
      </c>
      <c r="C151" s="124">
        <v>46874</v>
      </c>
      <c r="D151" s="133">
        <f>SUMIF('Payment Buildup'!A$4:A$34,"="&amp;'Payment Schedule'!A151,'Payment Buildup'!P$4:P$34)</f>
        <v>0</v>
      </c>
      <c r="E151" s="134">
        <f>SUMIF('Payment Buildup'!A$4:A$34,"="&amp;'Payment Schedule'!A151,'Payment Buildup'!Q$4:Q$34)</f>
        <v>0</v>
      </c>
      <c r="F151" s="134">
        <f t="shared" si="4"/>
        <v>0</v>
      </c>
      <c r="G151" s="134">
        <f t="shared" si="6"/>
        <v>85305.844633556073</v>
      </c>
      <c r="H151" s="136">
        <f t="shared" si="5"/>
        <v>25677059.234700378</v>
      </c>
    </row>
    <row r="152" spans="1:8" x14ac:dyDescent="0.25">
      <c r="A152" s="119">
        <v>10</v>
      </c>
      <c r="B152" s="119">
        <v>10</v>
      </c>
      <c r="C152" s="124">
        <v>46905</v>
      </c>
      <c r="D152" s="133">
        <f>SUMIF('Payment Buildup'!A$4:A$34,"="&amp;'Payment Schedule'!A152,'Payment Buildup'!P$4:P$34)</f>
        <v>3440538.484117724</v>
      </c>
      <c r="E152" s="134">
        <f>SUMIF('Payment Buildup'!A$4:A$34,"="&amp;'Payment Schedule'!A152,'Payment Buildup'!Q$4:Q$34)</f>
        <v>748928.39646101126</v>
      </c>
      <c r="F152" s="134">
        <f t="shared" si="4"/>
        <v>2691610.0876567126</v>
      </c>
      <c r="G152" s="134">
        <f t="shared" si="6"/>
        <v>85590.197449001265</v>
      </c>
      <c r="H152" s="136">
        <f t="shared" si="5"/>
        <v>23071039.344492666</v>
      </c>
    </row>
    <row r="153" spans="1:8" x14ac:dyDescent="0.25">
      <c r="B153" s="119">
        <v>10</v>
      </c>
      <c r="C153" s="124">
        <v>46935</v>
      </c>
      <c r="D153" s="133">
        <f>SUMIF('Payment Buildup'!A$4:A$34,"="&amp;'Payment Schedule'!A153,'Payment Buildup'!P$4:P$34)</f>
        <v>0</v>
      </c>
      <c r="E153" s="134">
        <f>SUMIF('Payment Buildup'!A$4:A$34,"="&amp;'Payment Schedule'!A153,'Payment Buildup'!Q$4:Q$34)</f>
        <v>0</v>
      </c>
      <c r="F153" s="134">
        <f t="shared" si="4"/>
        <v>0</v>
      </c>
      <c r="G153" s="134">
        <f t="shared" si="6"/>
        <v>76903.464481642222</v>
      </c>
      <c r="H153" s="136">
        <f t="shared" si="5"/>
        <v>23147942.808974307</v>
      </c>
    </row>
    <row r="154" spans="1:8" x14ac:dyDescent="0.25">
      <c r="B154" s="119">
        <v>10</v>
      </c>
      <c r="C154" s="124">
        <v>46966</v>
      </c>
      <c r="D154" s="133">
        <f>SUMIF('Payment Buildup'!A$4:A$34,"="&amp;'Payment Schedule'!A154,'Payment Buildup'!P$4:P$34)</f>
        <v>0</v>
      </c>
      <c r="E154" s="134">
        <f>SUMIF('Payment Buildup'!A$4:A$34,"="&amp;'Payment Schedule'!A154,'Payment Buildup'!Q$4:Q$34)</f>
        <v>0</v>
      </c>
      <c r="F154" s="134">
        <f t="shared" si="4"/>
        <v>0</v>
      </c>
      <c r="G154" s="134">
        <f t="shared" si="6"/>
        <v>77159.809363247696</v>
      </c>
      <c r="H154" s="136">
        <f t="shared" si="5"/>
        <v>23225102.618337553</v>
      </c>
    </row>
    <row r="155" spans="1:8" x14ac:dyDescent="0.25">
      <c r="B155" s="119">
        <v>10</v>
      </c>
      <c r="C155" s="124">
        <v>46997</v>
      </c>
      <c r="D155" s="133">
        <f>SUMIF('Payment Buildup'!A$4:A$34,"="&amp;'Payment Schedule'!A155,'Payment Buildup'!P$4:P$34)</f>
        <v>0</v>
      </c>
      <c r="E155" s="134">
        <f>SUMIF('Payment Buildup'!A$4:A$34,"="&amp;'Payment Schedule'!A155,'Payment Buildup'!Q$4:Q$34)</f>
        <v>0</v>
      </c>
      <c r="F155" s="134">
        <f t="shared" si="4"/>
        <v>0</v>
      </c>
      <c r="G155" s="134">
        <f t="shared" si="6"/>
        <v>77417.00872779185</v>
      </c>
      <c r="H155" s="136">
        <f t="shared" si="5"/>
        <v>23302519.627065346</v>
      </c>
    </row>
    <row r="156" spans="1:8" x14ac:dyDescent="0.25">
      <c r="B156" s="119">
        <v>10</v>
      </c>
      <c r="C156" s="124">
        <v>47027</v>
      </c>
      <c r="D156" s="133">
        <f>SUMIF('Payment Buildup'!A$4:A$34,"="&amp;'Payment Schedule'!A156,'Payment Buildup'!P$4:P$34)</f>
        <v>0</v>
      </c>
      <c r="E156" s="134">
        <f>SUMIF('Payment Buildup'!A$4:A$34,"="&amp;'Payment Schedule'!A156,'Payment Buildup'!Q$4:Q$34)</f>
        <v>0</v>
      </c>
      <c r="F156" s="134">
        <f t="shared" si="4"/>
        <v>0</v>
      </c>
      <c r="G156" s="134">
        <f t="shared" si="6"/>
        <v>77675.065423551161</v>
      </c>
      <c r="H156" s="136">
        <f t="shared" si="5"/>
        <v>23380194.692488898</v>
      </c>
    </row>
    <row r="157" spans="1:8" x14ac:dyDescent="0.25">
      <c r="B157" s="119">
        <v>10</v>
      </c>
      <c r="C157" s="124">
        <v>47058</v>
      </c>
      <c r="D157" s="133">
        <f>SUMIF('Payment Buildup'!A$4:A$34,"="&amp;'Payment Schedule'!A157,'Payment Buildup'!P$4:P$34)</f>
        <v>0</v>
      </c>
      <c r="E157" s="134">
        <f>SUMIF('Payment Buildup'!A$4:A$34,"="&amp;'Payment Schedule'!A157,'Payment Buildup'!Q$4:Q$34)</f>
        <v>0</v>
      </c>
      <c r="F157" s="134">
        <f t="shared" si="4"/>
        <v>0</v>
      </c>
      <c r="G157" s="134">
        <f t="shared" si="6"/>
        <v>77933.982308296327</v>
      </c>
      <c r="H157" s="136">
        <f t="shared" si="5"/>
        <v>23458128.674797192</v>
      </c>
    </row>
    <row r="158" spans="1:8" x14ac:dyDescent="0.25">
      <c r="B158" s="119">
        <v>10</v>
      </c>
      <c r="C158" s="124">
        <v>47088</v>
      </c>
      <c r="D158" s="133">
        <f>SUMIF('Payment Buildup'!A$4:A$34,"="&amp;'Payment Schedule'!A158,'Payment Buildup'!P$4:P$34)</f>
        <v>0</v>
      </c>
      <c r="E158" s="134">
        <f>SUMIF('Payment Buildup'!A$4:A$34,"="&amp;'Payment Schedule'!A158,'Payment Buildup'!Q$4:Q$34)</f>
        <v>0</v>
      </c>
      <c r="F158" s="134">
        <f t="shared" si="4"/>
        <v>0</v>
      </c>
      <c r="G158" s="134">
        <f t="shared" si="6"/>
        <v>78193.762249323976</v>
      </c>
      <c r="H158" s="136">
        <f t="shared" si="5"/>
        <v>23536322.437046517</v>
      </c>
    </row>
    <row r="159" spans="1:8" x14ac:dyDescent="0.25">
      <c r="B159" s="119">
        <v>10</v>
      </c>
      <c r="C159" s="124">
        <v>47119</v>
      </c>
      <c r="D159" s="133">
        <f>SUMIF('Payment Buildup'!A$4:A$34,"="&amp;'Payment Schedule'!A159,'Payment Buildup'!P$4:P$34)</f>
        <v>0</v>
      </c>
      <c r="E159" s="134">
        <f>SUMIF('Payment Buildup'!A$4:A$34,"="&amp;'Payment Schedule'!A159,'Payment Buildup'!Q$4:Q$34)</f>
        <v>0</v>
      </c>
      <c r="F159" s="134">
        <f t="shared" si="4"/>
        <v>0</v>
      </c>
      <c r="G159" s="134">
        <f t="shared" si="6"/>
        <v>78454.408123488392</v>
      </c>
      <c r="H159" s="136">
        <f t="shared" si="5"/>
        <v>23614776.845170006</v>
      </c>
    </row>
    <row r="160" spans="1:8" x14ac:dyDescent="0.25">
      <c r="B160" s="119">
        <v>11</v>
      </c>
      <c r="C160" s="124">
        <v>47150</v>
      </c>
      <c r="D160" s="133">
        <f>SUMIF('Payment Buildup'!A$4:A$34,"="&amp;'Payment Schedule'!A160,'Payment Buildup'!P$4:P$34)</f>
        <v>0</v>
      </c>
      <c r="E160" s="134">
        <f>SUMIF('Payment Buildup'!A$4:A$34,"="&amp;'Payment Schedule'!A160,'Payment Buildup'!Q$4:Q$34)</f>
        <v>0</v>
      </c>
      <c r="F160" s="134">
        <f t="shared" si="4"/>
        <v>0</v>
      </c>
      <c r="G160" s="134">
        <f t="shared" si="6"/>
        <v>78715.922817233353</v>
      </c>
      <c r="H160" s="136">
        <f t="shared" si="5"/>
        <v>23693492.76798724</v>
      </c>
    </row>
    <row r="161" spans="1:8" x14ac:dyDescent="0.25">
      <c r="B161" s="119">
        <v>11</v>
      </c>
      <c r="C161" s="124">
        <v>47178</v>
      </c>
      <c r="D161" s="133">
        <f>SUMIF('Payment Buildup'!A$4:A$34,"="&amp;'Payment Schedule'!A161,'Payment Buildup'!P$4:P$34)</f>
        <v>0</v>
      </c>
      <c r="E161" s="134">
        <f>SUMIF('Payment Buildup'!A$4:A$34,"="&amp;'Payment Schedule'!A161,'Payment Buildup'!Q$4:Q$34)</f>
        <v>0</v>
      </c>
      <c r="F161" s="134">
        <f t="shared" si="4"/>
        <v>0</v>
      </c>
      <c r="G161" s="134">
        <f t="shared" si="6"/>
        <v>78978.309226624144</v>
      </c>
      <c r="H161" s="136">
        <f t="shared" si="5"/>
        <v>23772471.077213865</v>
      </c>
    </row>
    <row r="162" spans="1:8" x14ac:dyDescent="0.25">
      <c r="B162" s="119">
        <v>11</v>
      </c>
      <c r="C162" s="124">
        <v>47209</v>
      </c>
      <c r="D162" s="133">
        <f>SUMIF('Payment Buildup'!A$4:A$34,"="&amp;'Payment Schedule'!A162,'Payment Buildup'!P$4:P$34)</f>
        <v>0</v>
      </c>
      <c r="E162" s="134">
        <f>SUMIF('Payment Buildup'!A$4:A$34,"="&amp;'Payment Schedule'!A162,'Payment Buildup'!Q$4:Q$34)</f>
        <v>0</v>
      </c>
      <c r="F162" s="134">
        <f t="shared" si="4"/>
        <v>0</v>
      </c>
      <c r="G162" s="134">
        <f t="shared" si="6"/>
        <v>79241.570257379557</v>
      </c>
      <c r="H162" s="136">
        <f t="shared" si="5"/>
        <v>23851712.647471245</v>
      </c>
    </row>
    <row r="163" spans="1:8" x14ac:dyDescent="0.25">
      <c r="B163" s="119">
        <v>11</v>
      </c>
      <c r="C163" s="124">
        <v>47239</v>
      </c>
      <c r="D163" s="133">
        <f>SUMIF('Payment Buildup'!A$4:A$34,"="&amp;'Payment Schedule'!A163,'Payment Buildup'!P$4:P$34)</f>
        <v>0</v>
      </c>
      <c r="E163" s="134">
        <f>SUMIF('Payment Buildup'!A$4:A$34,"="&amp;'Payment Schedule'!A163,'Payment Buildup'!Q$4:Q$34)</f>
        <v>0</v>
      </c>
      <c r="F163" s="134">
        <f t="shared" si="4"/>
        <v>0</v>
      </c>
      <c r="G163" s="134">
        <f t="shared" si="6"/>
        <v>79505.708824904155</v>
      </c>
      <c r="H163" s="136">
        <f t="shared" si="5"/>
        <v>23931218.356296148</v>
      </c>
    </row>
    <row r="164" spans="1:8" x14ac:dyDescent="0.25">
      <c r="A164" s="119">
        <v>11</v>
      </c>
      <c r="B164" s="119">
        <v>11</v>
      </c>
      <c r="C164" s="124">
        <v>47270</v>
      </c>
      <c r="D164" s="133">
        <f>SUMIF('Payment Buildup'!A$4:A$34,"="&amp;'Payment Schedule'!A164,'Payment Buildup'!P$4:P$34)</f>
        <v>3543754.6386412559</v>
      </c>
      <c r="E164" s="134">
        <f>SUMIF('Payment Buildup'!A$4:A$34,"="&amp;'Payment Schedule'!A164,'Payment Buildup'!Q$4:Q$34)</f>
        <v>771396.24835484137</v>
      </c>
      <c r="F164" s="134">
        <f t="shared" si="4"/>
        <v>2772358.3902864144</v>
      </c>
      <c r="G164" s="134">
        <f t="shared" si="6"/>
        <v>79770.727854320503</v>
      </c>
      <c r="H164" s="136">
        <f t="shared" si="5"/>
        <v>21238630.693864051</v>
      </c>
    </row>
    <row r="165" spans="1:8" x14ac:dyDescent="0.25">
      <c r="B165" s="119">
        <v>11</v>
      </c>
      <c r="C165" s="124">
        <v>47300</v>
      </c>
      <c r="D165" s="133">
        <f>SUMIF('Payment Buildup'!A$4:A$34,"="&amp;'Payment Schedule'!A165,'Payment Buildup'!P$4:P$34)</f>
        <v>0</v>
      </c>
      <c r="E165" s="134">
        <f>SUMIF('Payment Buildup'!A$4:A$34,"="&amp;'Payment Schedule'!A165,'Payment Buildup'!Q$4:Q$34)</f>
        <v>0</v>
      </c>
      <c r="F165" s="134">
        <f t="shared" si="4"/>
        <v>0</v>
      </c>
      <c r="G165" s="134">
        <f t="shared" si="6"/>
        <v>70795.435646213504</v>
      </c>
      <c r="H165" s="136">
        <f t="shared" si="5"/>
        <v>21309426.129510265</v>
      </c>
    </row>
    <row r="166" spans="1:8" x14ac:dyDescent="0.25">
      <c r="B166" s="119">
        <v>11</v>
      </c>
      <c r="C166" s="124">
        <v>47331</v>
      </c>
      <c r="D166" s="133">
        <f>SUMIF('Payment Buildup'!A$4:A$34,"="&amp;'Payment Schedule'!A166,'Payment Buildup'!P$4:P$34)</f>
        <v>0</v>
      </c>
      <c r="E166" s="134">
        <f>SUMIF('Payment Buildup'!A$4:A$34,"="&amp;'Payment Schedule'!A166,'Payment Buildup'!Q$4:Q$34)</f>
        <v>0</v>
      </c>
      <c r="F166" s="134">
        <f t="shared" si="4"/>
        <v>0</v>
      </c>
      <c r="G166" s="134">
        <f t="shared" si="6"/>
        <v>71031.420431700884</v>
      </c>
      <c r="H166" s="136">
        <f t="shared" si="5"/>
        <v>21380457.549941964</v>
      </c>
    </row>
    <row r="167" spans="1:8" x14ac:dyDescent="0.25">
      <c r="B167" s="119">
        <v>11</v>
      </c>
      <c r="C167" s="124">
        <v>47362</v>
      </c>
      <c r="D167" s="133">
        <f>SUMIF('Payment Buildup'!A$4:A$34,"="&amp;'Payment Schedule'!A167,'Payment Buildup'!P$4:P$34)</f>
        <v>0</v>
      </c>
      <c r="E167" s="134">
        <f>SUMIF('Payment Buildup'!A$4:A$34,"="&amp;'Payment Schedule'!A167,'Payment Buildup'!Q$4:Q$34)</f>
        <v>0</v>
      </c>
      <c r="F167" s="134">
        <f t="shared" si="4"/>
        <v>0</v>
      </c>
      <c r="G167" s="134">
        <f t="shared" si="6"/>
        <v>71268.191833139892</v>
      </c>
      <c r="H167" s="136">
        <f t="shared" si="5"/>
        <v>21451725.741775103</v>
      </c>
    </row>
    <row r="168" spans="1:8" x14ac:dyDescent="0.25">
      <c r="B168" s="119">
        <v>11</v>
      </c>
      <c r="C168" s="124">
        <v>47392</v>
      </c>
      <c r="D168" s="133">
        <f>SUMIF('Payment Buildup'!A$4:A$34,"="&amp;'Payment Schedule'!A168,'Payment Buildup'!P$4:P$34)</f>
        <v>0</v>
      </c>
      <c r="E168" s="134">
        <f>SUMIF('Payment Buildup'!A$4:A$34,"="&amp;'Payment Schedule'!A168,'Payment Buildup'!Q$4:Q$34)</f>
        <v>0</v>
      </c>
      <c r="F168" s="134">
        <f t="shared" ref="F168:F231" si="7">D168-E168</f>
        <v>0</v>
      </c>
      <c r="G168" s="134">
        <f t="shared" si="6"/>
        <v>71505.752472583685</v>
      </c>
      <c r="H168" s="136">
        <f t="shared" ref="H168:H231" si="8">H167+G168-F168</f>
        <v>21523231.494247686</v>
      </c>
    </row>
    <row r="169" spans="1:8" x14ac:dyDescent="0.25">
      <c r="B169" s="119">
        <v>11</v>
      </c>
      <c r="C169" s="124">
        <v>47423</v>
      </c>
      <c r="D169" s="133">
        <f>SUMIF('Payment Buildup'!A$4:A$34,"="&amp;'Payment Schedule'!A169,'Payment Buildup'!P$4:P$34)</f>
        <v>0</v>
      </c>
      <c r="E169" s="134">
        <f>SUMIF('Payment Buildup'!A$4:A$34,"="&amp;'Payment Schedule'!A169,'Payment Buildup'!Q$4:Q$34)</f>
        <v>0</v>
      </c>
      <c r="F169" s="134">
        <f t="shared" si="7"/>
        <v>0</v>
      </c>
      <c r="G169" s="134">
        <f t="shared" si="6"/>
        <v>71744.104980825621</v>
      </c>
      <c r="H169" s="136">
        <f t="shared" si="8"/>
        <v>21594975.599228512</v>
      </c>
    </row>
    <row r="170" spans="1:8" x14ac:dyDescent="0.25">
      <c r="B170" s="119">
        <v>11</v>
      </c>
      <c r="C170" s="124">
        <v>47453</v>
      </c>
      <c r="D170" s="133">
        <f>SUMIF('Payment Buildup'!A$4:A$34,"="&amp;'Payment Schedule'!A170,'Payment Buildup'!P$4:P$34)</f>
        <v>0</v>
      </c>
      <c r="E170" s="134">
        <f>SUMIF('Payment Buildup'!A$4:A$34,"="&amp;'Payment Schedule'!A170,'Payment Buildup'!Q$4:Q$34)</f>
        <v>0</v>
      </c>
      <c r="F170" s="134">
        <f t="shared" si="7"/>
        <v>0</v>
      </c>
      <c r="G170" s="134">
        <f t="shared" si="6"/>
        <v>71983.251997428379</v>
      </c>
      <c r="H170" s="136">
        <f t="shared" si="8"/>
        <v>21666958.851225942</v>
      </c>
    </row>
    <row r="171" spans="1:8" x14ac:dyDescent="0.25">
      <c r="B171" s="119">
        <v>11</v>
      </c>
      <c r="C171" s="124">
        <v>47484</v>
      </c>
      <c r="D171" s="133">
        <f>SUMIF('Payment Buildup'!A$4:A$34,"="&amp;'Payment Schedule'!A171,'Payment Buildup'!P$4:P$34)</f>
        <v>0</v>
      </c>
      <c r="E171" s="134">
        <f>SUMIF('Payment Buildup'!A$4:A$34,"="&amp;'Payment Schedule'!A171,'Payment Buildup'!Q$4:Q$34)</f>
        <v>0</v>
      </c>
      <c r="F171" s="134">
        <f t="shared" si="7"/>
        <v>0</v>
      </c>
      <c r="G171" s="134">
        <f t="shared" si="6"/>
        <v>72223.196170753145</v>
      </c>
      <c r="H171" s="136">
        <f t="shared" si="8"/>
        <v>21739182.047396697</v>
      </c>
    </row>
    <row r="172" spans="1:8" x14ac:dyDescent="0.25">
      <c r="B172" s="119">
        <v>12</v>
      </c>
      <c r="C172" s="124">
        <v>47515</v>
      </c>
      <c r="D172" s="133">
        <f>SUMIF('Payment Buildup'!A$4:A$34,"="&amp;'Payment Schedule'!A172,'Payment Buildup'!P$4:P$34)</f>
        <v>0</v>
      </c>
      <c r="E172" s="134">
        <f>SUMIF('Payment Buildup'!A$4:A$34,"="&amp;'Payment Schedule'!A172,'Payment Buildup'!Q$4:Q$34)</f>
        <v>0</v>
      </c>
      <c r="F172" s="134">
        <f t="shared" si="7"/>
        <v>0</v>
      </c>
      <c r="G172" s="134">
        <f t="shared" si="6"/>
        <v>72463.940157988996</v>
      </c>
      <c r="H172" s="136">
        <f t="shared" si="8"/>
        <v>21811645.987554684</v>
      </c>
    </row>
    <row r="173" spans="1:8" x14ac:dyDescent="0.25">
      <c r="B173" s="119">
        <v>12</v>
      </c>
      <c r="C173" s="124">
        <v>47543</v>
      </c>
      <c r="D173" s="133">
        <f>SUMIF('Payment Buildup'!A$4:A$34,"="&amp;'Payment Schedule'!A173,'Payment Buildup'!P$4:P$34)</f>
        <v>0</v>
      </c>
      <c r="E173" s="134">
        <f>SUMIF('Payment Buildup'!A$4:A$34,"="&amp;'Payment Schedule'!A173,'Payment Buildup'!Q$4:Q$34)</f>
        <v>0</v>
      </c>
      <c r="F173" s="134">
        <f t="shared" si="7"/>
        <v>0</v>
      </c>
      <c r="G173" s="134">
        <f t="shared" si="6"/>
        <v>72705.486625182282</v>
      </c>
      <c r="H173" s="136">
        <f t="shared" si="8"/>
        <v>21884351.474179868</v>
      </c>
    </row>
    <row r="174" spans="1:8" x14ac:dyDescent="0.25">
      <c r="B174" s="119">
        <v>12</v>
      </c>
      <c r="C174" s="124">
        <v>47574</v>
      </c>
      <c r="D174" s="133">
        <f>SUMIF('Payment Buildup'!A$4:A$34,"="&amp;'Payment Schedule'!A174,'Payment Buildup'!P$4:P$34)</f>
        <v>0</v>
      </c>
      <c r="E174" s="134">
        <f>SUMIF('Payment Buildup'!A$4:A$34,"="&amp;'Payment Schedule'!A174,'Payment Buildup'!Q$4:Q$34)</f>
        <v>0</v>
      </c>
      <c r="F174" s="134">
        <f t="shared" si="7"/>
        <v>0</v>
      </c>
      <c r="G174" s="134">
        <f t="shared" si="6"/>
        <v>72947.838247266234</v>
      </c>
      <c r="H174" s="136">
        <f t="shared" si="8"/>
        <v>21957299.312427133</v>
      </c>
    </row>
    <row r="175" spans="1:8" x14ac:dyDescent="0.25">
      <c r="B175" s="119">
        <v>12</v>
      </c>
      <c r="C175" s="124">
        <v>47604</v>
      </c>
      <c r="D175" s="133">
        <f>SUMIF('Payment Buildup'!A$4:A$34,"="&amp;'Payment Schedule'!A175,'Payment Buildup'!P$4:P$34)</f>
        <v>0</v>
      </c>
      <c r="E175" s="134">
        <f>SUMIF('Payment Buildup'!A$4:A$34,"="&amp;'Payment Schedule'!A175,'Payment Buildup'!Q$4:Q$34)</f>
        <v>0</v>
      </c>
      <c r="F175" s="134">
        <f t="shared" si="7"/>
        <v>0</v>
      </c>
      <c r="G175" s="134">
        <f t="shared" si="6"/>
        <v>73190.99770809045</v>
      </c>
      <c r="H175" s="136">
        <f t="shared" si="8"/>
        <v>22030490.310135223</v>
      </c>
    </row>
    <row r="176" spans="1:8" x14ac:dyDescent="0.25">
      <c r="A176" s="119">
        <v>12</v>
      </c>
      <c r="B176" s="119">
        <v>12</v>
      </c>
      <c r="C176" s="124">
        <v>47635</v>
      </c>
      <c r="D176" s="133">
        <f>SUMIF('Payment Buildup'!A$4:A$34,"="&amp;'Payment Schedule'!A176,'Payment Buildup'!P$4:P$34)</f>
        <v>3650067.2778004939</v>
      </c>
      <c r="E176" s="134">
        <f>SUMIF('Payment Buildup'!A$4:A$34,"="&amp;'Payment Schedule'!A176,'Payment Buildup'!Q$4:Q$34)</f>
        <v>794538.1358054867</v>
      </c>
      <c r="F176" s="134">
        <f t="shared" si="7"/>
        <v>2855529.1419950072</v>
      </c>
      <c r="G176" s="134">
        <f t="shared" si="6"/>
        <v>73434.967700450754</v>
      </c>
      <c r="H176" s="136">
        <f t="shared" si="8"/>
        <v>19248396.135840669</v>
      </c>
    </row>
    <row r="177" spans="1:8" x14ac:dyDescent="0.25">
      <c r="B177" s="119">
        <v>12</v>
      </c>
      <c r="C177" s="124">
        <v>47665</v>
      </c>
      <c r="D177" s="133">
        <f>SUMIF('Payment Buildup'!A$4:A$34,"="&amp;'Payment Schedule'!A177,'Payment Buildup'!P$4:P$34)</f>
        <v>0</v>
      </c>
      <c r="E177" s="134">
        <f>SUMIF('Payment Buildup'!A$4:A$34,"="&amp;'Payment Schedule'!A177,'Payment Buildup'!Q$4:Q$34)</f>
        <v>0</v>
      </c>
      <c r="F177" s="134">
        <f t="shared" si="7"/>
        <v>0</v>
      </c>
      <c r="G177" s="134">
        <f t="shared" si="6"/>
        <v>64161.320452802232</v>
      </c>
      <c r="H177" s="136">
        <f t="shared" si="8"/>
        <v>19312557.456293471</v>
      </c>
    </row>
    <row r="178" spans="1:8" x14ac:dyDescent="0.25">
      <c r="B178" s="119">
        <v>12</v>
      </c>
      <c r="C178" s="124">
        <v>47696</v>
      </c>
      <c r="D178" s="133">
        <f>SUMIF('Payment Buildup'!A$4:A$34,"="&amp;'Payment Schedule'!A178,'Payment Buildup'!P$4:P$34)</f>
        <v>0</v>
      </c>
      <c r="E178" s="134">
        <f>SUMIF('Payment Buildup'!A$4:A$34,"="&amp;'Payment Schedule'!A178,'Payment Buildup'!Q$4:Q$34)</f>
        <v>0</v>
      </c>
      <c r="F178" s="134">
        <f t="shared" si="7"/>
        <v>0</v>
      </c>
      <c r="G178" s="134">
        <f t="shared" si="6"/>
        <v>64375.191520978238</v>
      </c>
      <c r="H178" s="136">
        <f t="shared" si="8"/>
        <v>19376932.647814449</v>
      </c>
    </row>
    <row r="179" spans="1:8" x14ac:dyDescent="0.25">
      <c r="B179" s="119">
        <v>12</v>
      </c>
      <c r="C179" s="124">
        <v>47727</v>
      </c>
      <c r="D179" s="133">
        <f>SUMIF('Payment Buildup'!A$4:A$34,"="&amp;'Payment Schedule'!A179,'Payment Buildup'!P$4:P$34)</f>
        <v>0</v>
      </c>
      <c r="E179" s="134">
        <f>SUMIF('Payment Buildup'!A$4:A$34,"="&amp;'Payment Schedule'!A179,'Payment Buildup'!Q$4:Q$34)</f>
        <v>0</v>
      </c>
      <c r="F179" s="134">
        <f t="shared" si="7"/>
        <v>0</v>
      </c>
      <c r="G179" s="134">
        <f t="shared" si="6"/>
        <v>64589.775492714834</v>
      </c>
      <c r="H179" s="136">
        <f t="shared" si="8"/>
        <v>19441522.423307166</v>
      </c>
    </row>
    <row r="180" spans="1:8" x14ac:dyDescent="0.25">
      <c r="B180" s="119">
        <v>12</v>
      </c>
      <c r="C180" s="124">
        <v>47757</v>
      </c>
      <c r="D180" s="133">
        <f>SUMIF('Payment Buildup'!A$4:A$34,"="&amp;'Payment Schedule'!A180,'Payment Buildup'!P$4:P$34)</f>
        <v>0</v>
      </c>
      <c r="E180" s="134">
        <f>SUMIF('Payment Buildup'!A$4:A$34,"="&amp;'Payment Schedule'!A180,'Payment Buildup'!Q$4:Q$34)</f>
        <v>0</v>
      </c>
      <c r="F180" s="134">
        <f t="shared" si="7"/>
        <v>0</v>
      </c>
      <c r="G180" s="134">
        <f t="shared" si="6"/>
        <v>64805.074744357225</v>
      </c>
      <c r="H180" s="136">
        <f t="shared" si="8"/>
        <v>19506327.498051524</v>
      </c>
    </row>
    <row r="181" spans="1:8" x14ac:dyDescent="0.25">
      <c r="B181" s="119">
        <v>12</v>
      </c>
      <c r="C181" s="124">
        <v>47788</v>
      </c>
      <c r="D181" s="133">
        <f>SUMIF('Payment Buildup'!A$4:A$34,"="&amp;'Payment Schedule'!A181,'Payment Buildup'!P$4:P$34)</f>
        <v>0</v>
      </c>
      <c r="E181" s="134">
        <f>SUMIF('Payment Buildup'!A$4:A$34,"="&amp;'Payment Schedule'!A181,'Payment Buildup'!Q$4:Q$34)</f>
        <v>0</v>
      </c>
      <c r="F181" s="134">
        <f t="shared" si="7"/>
        <v>0</v>
      </c>
      <c r="G181" s="134">
        <f t="shared" si="6"/>
        <v>65021.091660171754</v>
      </c>
      <c r="H181" s="136">
        <f t="shared" si="8"/>
        <v>19571348.589711696</v>
      </c>
    </row>
    <row r="182" spans="1:8" x14ac:dyDescent="0.25">
      <c r="B182" s="119">
        <v>12</v>
      </c>
      <c r="C182" s="124">
        <v>47818</v>
      </c>
      <c r="D182" s="133">
        <f>SUMIF('Payment Buildup'!A$4:A$34,"="&amp;'Payment Schedule'!A182,'Payment Buildup'!P$4:P$34)</f>
        <v>0</v>
      </c>
      <c r="E182" s="134">
        <f>SUMIF('Payment Buildup'!A$4:A$34,"="&amp;'Payment Schedule'!A182,'Payment Buildup'!Q$4:Q$34)</f>
        <v>0</v>
      </c>
      <c r="F182" s="134">
        <f t="shared" si="7"/>
        <v>0</v>
      </c>
      <c r="G182" s="134">
        <f t="shared" si="6"/>
        <v>65237.828632372322</v>
      </c>
      <c r="H182" s="136">
        <f t="shared" si="8"/>
        <v>19636586.418344069</v>
      </c>
    </row>
    <row r="183" spans="1:8" x14ac:dyDescent="0.25">
      <c r="B183" s="119">
        <v>12</v>
      </c>
      <c r="C183" s="124">
        <v>47849</v>
      </c>
      <c r="D183" s="133">
        <f>SUMIF('Payment Buildup'!A$4:A$34,"="&amp;'Payment Schedule'!A183,'Payment Buildup'!P$4:P$34)</f>
        <v>0</v>
      </c>
      <c r="E183" s="134">
        <f>SUMIF('Payment Buildup'!A$4:A$34,"="&amp;'Payment Schedule'!A183,'Payment Buildup'!Q$4:Q$34)</f>
        <v>0</v>
      </c>
      <c r="F183" s="134">
        <f t="shared" si="7"/>
        <v>0</v>
      </c>
      <c r="G183" s="134">
        <f t="shared" si="6"/>
        <v>65455.288061146901</v>
      </c>
      <c r="H183" s="136">
        <f t="shared" si="8"/>
        <v>19702041.706405215</v>
      </c>
    </row>
    <row r="184" spans="1:8" x14ac:dyDescent="0.25">
      <c r="B184" s="119">
        <v>13</v>
      </c>
      <c r="C184" s="124">
        <v>47880</v>
      </c>
      <c r="D184" s="133">
        <f>SUMIF('Payment Buildup'!A$4:A$34,"="&amp;'Payment Schedule'!A184,'Payment Buildup'!P$4:P$34)</f>
        <v>0</v>
      </c>
      <c r="E184" s="134">
        <f>SUMIF('Payment Buildup'!A$4:A$34,"="&amp;'Payment Schedule'!A184,'Payment Buildup'!Q$4:Q$34)</f>
        <v>0</v>
      </c>
      <c r="F184" s="134">
        <f t="shared" si="7"/>
        <v>0</v>
      </c>
      <c r="G184" s="134">
        <f t="shared" si="6"/>
        <v>65673.472354684054</v>
      </c>
      <c r="H184" s="136">
        <f t="shared" si="8"/>
        <v>19767715.178759899</v>
      </c>
    </row>
    <row r="185" spans="1:8" x14ac:dyDescent="0.25">
      <c r="B185" s="119">
        <v>13</v>
      </c>
      <c r="C185" s="124">
        <v>47908</v>
      </c>
      <c r="D185" s="133">
        <f>SUMIF('Payment Buildup'!A$4:A$34,"="&amp;'Payment Schedule'!A185,'Payment Buildup'!P$4:P$34)</f>
        <v>0</v>
      </c>
      <c r="E185" s="134">
        <f>SUMIF('Payment Buildup'!A$4:A$34,"="&amp;'Payment Schedule'!A185,'Payment Buildup'!Q$4:Q$34)</f>
        <v>0</v>
      </c>
      <c r="F185" s="134">
        <f t="shared" si="7"/>
        <v>0</v>
      </c>
      <c r="G185" s="134">
        <f t="shared" si="6"/>
        <v>65892.38392919967</v>
      </c>
      <c r="H185" s="136">
        <f t="shared" si="8"/>
        <v>19833607.562689099</v>
      </c>
    </row>
    <row r="186" spans="1:8" x14ac:dyDescent="0.25">
      <c r="B186" s="119">
        <v>13</v>
      </c>
      <c r="C186" s="124">
        <v>47939</v>
      </c>
      <c r="D186" s="133">
        <f>SUMIF('Payment Buildup'!A$4:A$34,"="&amp;'Payment Schedule'!A186,'Payment Buildup'!P$4:P$34)</f>
        <v>0</v>
      </c>
      <c r="E186" s="134">
        <f>SUMIF('Payment Buildup'!A$4:A$34,"="&amp;'Payment Schedule'!A186,'Payment Buildup'!Q$4:Q$34)</f>
        <v>0</v>
      </c>
      <c r="F186" s="134">
        <f t="shared" si="7"/>
        <v>0</v>
      </c>
      <c r="G186" s="134">
        <f t="shared" si="6"/>
        <v>66112.025208963663</v>
      </c>
      <c r="H186" s="136">
        <f t="shared" si="8"/>
        <v>19899719.587898064</v>
      </c>
    </row>
    <row r="187" spans="1:8" x14ac:dyDescent="0.25">
      <c r="B187" s="119">
        <v>13</v>
      </c>
      <c r="C187" s="124">
        <v>47969</v>
      </c>
      <c r="D187" s="133">
        <f>SUMIF('Payment Buildup'!A$4:A$34,"="&amp;'Payment Schedule'!A187,'Payment Buildup'!P$4:P$34)</f>
        <v>0</v>
      </c>
      <c r="E187" s="134">
        <f>SUMIF('Payment Buildup'!A$4:A$34,"="&amp;'Payment Schedule'!A187,'Payment Buildup'!Q$4:Q$34)</f>
        <v>0</v>
      </c>
      <c r="F187" s="134">
        <f t="shared" si="7"/>
        <v>0</v>
      </c>
      <c r="G187" s="134">
        <f t="shared" si="6"/>
        <v>66332.398626326889</v>
      </c>
      <c r="H187" s="136">
        <f t="shared" si="8"/>
        <v>19966051.986524392</v>
      </c>
    </row>
    <row r="188" spans="1:8" x14ac:dyDescent="0.25">
      <c r="A188" s="119">
        <v>13</v>
      </c>
      <c r="B188" s="119">
        <v>13</v>
      </c>
      <c r="C188" s="124">
        <v>48000</v>
      </c>
      <c r="D188" s="133">
        <f>SUMIF('Payment Buildup'!A$4:A$34,"="&amp;'Payment Schedule'!A188,'Payment Buildup'!P$4:P$34)</f>
        <v>3759569.2961345091</v>
      </c>
      <c r="E188" s="134">
        <f>SUMIF('Payment Buildup'!A$4:A$34,"="&amp;'Payment Schedule'!A188,'Payment Buildup'!Q$4:Q$34)</f>
        <v>818374.27987965138</v>
      </c>
      <c r="F188" s="134">
        <f t="shared" si="7"/>
        <v>2941195.0162548576</v>
      </c>
      <c r="G188" s="134">
        <f t="shared" si="6"/>
        <v>66553.506621747976</v>
      </c>
      <c r="H188" s="136">
        <f t="shared" si="8"/>
        <v>17091410.476891283</v>
      </c>
    </row>
    <row r="189" spans="1:8" x14ac:dyDescent="0.25">
      <c r="B189" s="119">
        <v>13</v>
      </c>
      <c r="C189" s="124">
        <v>48030</v>
      </c>
      <c r="D189" s="133">
        <f>SUMIF('Payment Buildup'!A$4:A$34,"="&amp;'Payment Schedule'!A189,'Payment Buildup'!P$4:P$34)</f>
        <v>0</v>
      </c>
      <c r="E189" s="134">
        <f>SUMIF('Payment Buildup'!A$4:A$34,"="&amp;'Payment Schedule'!A189,'Payment Buildup'!Q$4:Q$34)</f>
        <v>0</v>
      </c>
      <c r="F189" s="134">
        <f t="shared" si="7"/>
        <v>0</v>
      </c>
      <c r="G189" s="134">
        <f t="shared" si="6"/>
        <v>56971.368256304282</v>
      </c>
      <c r="H189" s="136">
        <f t="shared" si="8"/>
        <v>17148381.845147587</v>
      </c>
    </row>
    <row r="190" spans="1:8" x14ac:dyDescent="0.25">
      <c r="B190" s="119">
        <v>13</v>
      </c>
      <c r="C190" s="124">
        <v>48061</v>
      </c>
      <c r="D190" s="133">
        <f>SUMIF('Payment Buildup'!A$4:A$34,"="&amp;'Payment Schedule'!A190,'Payment Buildup'!P$4:P$34)</f>
        <v>0</v>
      </c>
      <c r="E190" s="134">
        <f>SUMIF('Payment Buildup'!A$4:A$34,"="&amp;'Payment Schedule'!A190,'Payment Buildup'!Q$4:Q$34)</f>
        <v>0</v>
      </c>
      <c r="F190" s="134">
        <f t="shared" si="7"/>
        <v>0</v>
      </c>
      <c r="G190" s="134">
        <f t="shared" si="6"/>
        <v>57161.272817158628</v>
      </c>
      <c r="H190" s="136">
        <f t="shared" si="8"/>
        <v>17205543.117964745</v>
      </c>
    </row>
    <row r="191" spans="1:8" x14ac:dyDescent="0.25">
      <c r="B191" s="119">
        <v>13</v>
      </c>
      <c r="C191" s="124">
        <v>48092</v>
      </c>
      <c r="D191" s="133">
        <f>SUMIF('Payment Buildup'!A$4:A$34,"="&amp;'Payment Schedule'!A191,'Payment Buildup'!P$4:P$34)</f>
        <v>0</v>
      </c>
      <c r="E191" s="134">
        <f>SUMIF('Payment Buildup'!A$4:A$34,"="&amp;'Payment Schedule'!A191,'Payment Buildup'!Q$4:Q$34)</f>
        <v>0</v>
      </c>
      <c r="F191" s="134">
        <f t="shared" si="7"/>
        <v>0</v>
      </c>
      <c r="G191" s="134">
        <f t="shared" si="6"/>
        <v>57351.810393215819</v>
      </c>
      <c r="H191" s="136">
        <f t="shared" si="8"/>
        <v>17262894.928357959</v>
      </c>
    </row>
    <row r="192" spans="1:8" x14ac:dyDescent="0.25">
      <c r="B192" s="119">
        <v>13</v>
      </c>
      <c r="C192" s="124">
        <v>48122</v>
      </c>
      <c r="D192" s="133">
        <f>SUMIF('Payment Buildup'!A$4:A$34,"="&amp;'Payment Schedule'!A192,'Payment Buildup'!P$4:P$34)</f>
        <v>0</v>
      </c>
      <c r="E192" s="134">
        <f>SUMIF('Payment Buildup'!A$4:A$34,"="&amp;'Payment Schedule'!A192,'Payment Buildup'!Q$4:Q$34)</f>
        <v>0</v>
      </c>
      <c r="F192" s="134">
        <f t="shared" si="7"/>
        <v>0</v>
      </c>
      <c r="G192" s="134">
        <f t="shared" si="6"/>
        <v>57542.983094526535</v>
      </c>
      <c r="H192" s="136">
        <f t="shared" si="8"/>
        <v>17320437.911452487</v>
      </c>
    </row>
    <row r="193" spans="1:8" x14ac:dyDescent="0.25">
      <c r="B193" s="119">
        <v>13</v>
      </c>
      <c r="C193" s="124">
        <v>48153</v>
      </c>
      <c r="D193" s="133">
        <f>SUMIF('Payment Buildup'!A$4:A$34,"="&amp;'Payment Schedule'!A193,'Payment Buildup'!P$4:P$34)</f>
        <v>0</v>
      </c>
      <c r="E193" s="134">
        <f>SUMIF('Payment Buildup'!A$4:A$34,"="&amp;'Payment Schedule'!A193,'Payment Buildup'!Q$4:Q$34)</f>
        <v>0</v>
      </c>
      <c r="F193" s="134">
        <f t="shared" si="7"/>
        <v>0</v>
      </c>
      <c r="G193" s="134">
        <f t="shared" si="6"/>
        <v>57734.793038174961</v>
      </c>
      <c r="H193" s="136">
        <f t="shared" si="8"/>
        <v>17378172.704490662</v>
      </c>
    </row>
    <row r="194" spans="1:8" x14ac:dyDescent="0.25">
      <c r="B194" s="119">
        <v>13</v>
      </c>
      <c r="C194" s="124">
        <v>48183</v>
      </c>
      <c r="D194" s="133">
        <f>SUMIF('Payment Buildup'!A$4:A$34,"="&amp;'Payment Schedule'!A194,'Payment Buildup'!P$4:P$34)</f>
        <v>0</v>
      </c>
      <c r="E194" s="134">
        <f>SUMIF('Payment Buildup'!A$4:A$34,"="&amp;'Payment Schedule'!A194,'Payment Buildup'!Q$4:Q$34)</f>
        <v>0</v>
      </c>
      <c r="F194" s="134">
        <f t="shared" si="7"/>
        <v>0</v>
      </c>
      <c r="G194" s="134">
        <f t="shared" si="6"/>
        <v>57927.242348302207</v>
      </c>
      <c r="H194" s="136">
        <f t="shared" si="8"/>
        <v>17436099.946838964</v>
      </c>
    </row>
    <row r="195" spans="1:8" x14ac:dyDescent="0.25">
      <c r="B195" s="119">
        <v>13</v>
      </c>
      <c r="C195" s="124">
        <v>48214</v>
      </c>
      <c r="D195" s="133">
        <f>SUMIF('Payment Buildup'!A$4:A$34,"="&amp;'Payment Schedule'!A195,'Payment Buildup'!P$4:P$34)</f>
        <v>0</v>
      </c>
      <c r="E195" s="134">
        <f>SUMIF('Payment Buildup'!A$4:A$34,"="&amp;'Payment Schedule'!A195,'Payment Buildup'!Q$4:Q$34)</f>
        <v>0</v>
      </c>
      <c r="F195" s="134">
        <f t="shared" si="7"/>
        <v>0</v>
      </c>
      <c r="G195" s="134">
        <f t="shared" si="6"/>
        <v>58120.333156129884</v>
      </c>
      <c r="H195" s="136">
        <f t="shared" si="8"/>
        <v>17494220.279995095</v>
      </c>
    </row>
    <row r="196" spans="1:8" x14ac:dyDescent="0.25">
      <c r="B196" s="119">
        <v>14</v>
      </c>
      <c r="C196" s="124">
        <v>48245</v>
      </c>
      <c r="D196" s="133">
        <f>SUMIF('Payment Buildup'!A$4:A$34,"="&amp;'Payment Schedule'!A196,'Payment Buildup'!P$4:P$34)</f>
        <v>0</v>
      </c>
      <c r="E196" s="134">
        <f>SUMIF('Payment Buildup'!A$4:A$34,"="&amp;'Payment Schedule'!A196,'Payment Buildup'!Q$4:Q$34)</f>
        <v>0</v>
      </c>
      <c r="F196" s="134">
        <f t="shared" si="7"/>
        <v>0</v>
      </c>
      <c r="G196" s="134">
        <f t="shared" si="6"/>
        <v>58314.067599983653</v>
      </c>
      <c r="H196" s="136">
        <f t="shared" si="8"/>
        <v>17552534.347595077</v>
      </c>
    </row>
    <row r="197" spans="1:8" x14ac:dyDescent="0.25">
      <c r="B197" s="119">
        <v>14</v>
      </c>
      <c r="C197" s="124">
        <v>48274</v>
      </c>
      <c r="D197" s="133">
        <f>SUMIF('Payment Buildup'!A$4:A$34,"="&amp;'Payment Schedule'!A197,'Payment Buildup'!P$4:P$34)</f>
        <v>0</v>
      </c>
      <c r="E197" s="134">
        <f>SUMIF('Payment Buildup'!A$4:A$34,"="&amp;'Payment Schedule'!A197,'Payment Buildup'!Q$4:Q$34)</f>
        <v>0</v>
      </c>
      <c r="F197" s="134">
        <f t="shared" si="7"/>
        <v>0</v>
      </c>
      <c r="G197" s="134">
        <f t="shared" si="6"/>
        <v>58508.447825316929</v>
      </c>
      <c r="H197" s="136">
        <f t="shared" si="8"/>
        <v>17611042.795420393</v>
      </c>
    </row>
    <row r="198" spans="1:8" x14ac:dyDescent="0.25">
      <c r="B198" s="119">
        <v>14</v>
      </c>
      <c r="C198" s="124">
        <v>48305</v>
      </c>
      <c r="D198" s="133">
        <f>SUMIF('Payment Buildup'!A$4:A$34,"="&amp;'Payment Schedule'!A198,'Payment Buildup'!P$4:P$34)</f>
        <v>0</v>
      </c>
      <c r="E198" s="134">
        <f>SUMIF('Payment Buildup'!A$4:A$34,"="&amp;'Payment Schedule'!A198,'Payment Buildup'!Q$4:Q$34)</f>
        <v>0</v>
      </c>
      <c r="F198" s="134">
        <f t="shared" si="7"/>
        <v>0</v>
      </c>
      <c r="G198" s="134">
        <f t="shared" si="6"/>
        <v>58703.47598473465</v>
      </c>
      <c r="H198" s="136">
        <f t="shared" si="8"/>
        <v>17669746.271405127</v>
      </c>
    </row>
    <row r="199" spans="1:8" x14ac:dyDescent="0.25">
      <c r="B199" s="119">
        <v>14</v>
      </c>
      <c r="C199" s="124">
        <v>48335</v>
      </c>
      <c r="D199" s="133">
        <f>SUMIF('Payment Buildup'!A$4:A$34,"="&amp;'Payment Schedule'!A199,'Payment Buildup'!P$4:P$34)</f>
        <v>0</v>
      </c>
      <c r="E199" s="134">
        <f>SUMIF('Payment Buildup'!A$4:A$34,"="&amp;'Payment Schedule'!A199,'Payment Buildup'!Q$4:Q$34)</f>
        <v>0</v>
      </c>
      <c r="F199" s="134">
        <f t="shared" si="7"/>
        <v>0</v>
      </c>
      <c r="G199" s="134">
        <f t="shared" si="6"/>
        <v>58899.154238017094</v>
      </c>
      <c r="H199" s="136">
        <f t="shared" si="8"/>
        <v>17728645.425643142</v>
      </c>
    </row>
    <row r="200" spans="1:8" x14ac:dyDescent="0.25">
      <c r="A200" s="119">
        <v>14</v>
      </c>
      <c r="B200" s="119">
        <v>14</v>
      </c>
      <c r="C200" s="124">
        <v>48366</v>
      </c>
      <c r="D200" s="133">
        <f>SUMIF('Payment Buildup'!A$4:A$34,"="&amp;'Payment Schedule'!A200,'Payment Buildup'!P$4:P$34)</f>
        <v>3872356.375018544</v>
      </c>
      <c r="E200" s="134">
        <f>SUMIF('Payment Buildup'!A$4:A$34,"="&amp;'Payment Schedule'!A200,'Payment Buildup'!Q$4:Q$34)</f>
        <v>842925.50827604102</v>
      </c>
      <c r="F200" s="134">
        <f t="shared" si="7"/>
        <v>3029430.8667425029</v>
      </c>
      <c r="G200" s="134">
        <f t="shared" si="6"/>
        <v>59095.484752143813</v>
      </c>
      <c r="H200" s="136">
        <f t="shared" si="8"/>
        <v>14758310.043652784</v>
      </c>
    </row>
    <row r="201" spans="1:8" x14ac:dyDescent="0.25">
      <c r="B201" s="119">
        <v>14</v>
      </c>
      <c r="C201" s="124">
        <v>48396</v>
      </c>
      <c r="D201" s="133">
        <f>SUMIF('Payment Buildup'!A$4:A$34,"="&amp;'Payment Schedule'!A201,'Payment Buildup'!P$4:P$34)</f>
        <v>0</v>
      </c>
      <c r="E201" s="134">
        <f>SUMIF('Payment Buildup'!A$4:A$34,"="&amp;'Payment Schedule'!A201,'Payment Buildup'!Q$4:Q$34)</f>
        <v>0</v>
      </c>
      <c r="F201" s="134">
        <f t="shared" si="7"/>
        <v>0</v>
      </c>
      <c r="G201" s="134">
        <f t="shared" si="6"/>
        <v>49194.366812175947</v>
      </c>
      <c r="H201" s="136">
        <f t="shared" si="8"/>
        <v>14807504.410464959</v>
      </c>
    </row>
    <row r="202" spans="1:8" x14ac:dyDescent="0.25">
      <c r="B202" s="119">
        <v>14</v>
      </c>
      <c r="C202" s="124">
        <v>48427</v>
      </c>
      <c r="D202" s="133">
        <f>SUMIF('Payment Buildup'!A$4:A$34,"="&amp;'Payment Schedule'!A202,'Payment Buildup'!P$4:P$34)</f>
        <v>0</v>
      </c>
      <c r="E202" s="134">
        <f>SUMIF('Payment Buildup'!A$4:A$34,"="&amp;'Payment Schedule'!A202,'Payment Buildup'!Q$4:Q$34)</f>
        <v>0</v>
      </c>
      <c r="F202" s="134">
        <f t="shared" si="7"/>
        <v>0</v>
      </c>
      <c r="G202" s="134">
        <f t="shared" ref="G202:G265" si="9">H201*(C$6/12)</f>
        <v>49358.348034883202</v>
      </c>
      <c r="H202" s="136">
        <f t="shared" si="8"/>
        <v>14856862.758499842</v>
      </c>
    </row>
    <row r="203" spans="1:8" x14ac:dyDescent="0.25">
      <c r="B203" s="119">
        <v>14</v>
      </c>
      <c r="C203" s="124">
        <v>48458</v>
      </c>
      <c r="D203" s="133">
        <f>SUMIF('Payment Buildup'!A$4:A$34,"="&amp;'Payment Schedule'!A203,'Payment Buildup'!P$4:P$34)</f>
        <v>0</v>
      </c>
      <c r="E203" s="134">
        <f>SUMIF('Payment Buildup'!A$4:A$34,"="&amp;'Payment Schedule'!A203,'Payment Buildup'!Q$4:Q$34)</f>
        <v>0</v>
      </c>
      <c r="F203" s="134">
        <f t="shared" si="7"/>
        <v>0</v>
      </c>
      <c r="G203" s="134">
        <f t="shared" si="9"/>
        <v>49522.875861666143</v>
      </c>
      <c r="H203" s="136">
        <f t="shared" si="8"/>
        <v>14906385.634361507</v>
      </c>
    </row>
    <row r="204" spans="1:8" x14ac:dyDescent="0.25">
      <c r="B204" s="119">
        <v>14</v>
      </c>
      <c r="C204" s="124">
        <v>48488</v>
      </c>
      <c r="D204" s="133">
        <f>SUMIF('Payment Buildup'!A$4:A$34,"="&amp;'Payment Schedule'!A204,'Payment Buildup'!P$4:P$34)</f>
        <v>0</v>
      </c>
      <c r="E204" s="134">
        <f>SUMIF('Payment Buildup'!A$4:A$34,"="&amp;'Payment Schedule'!A204,'Payment Buildup'!Q$4:Q$34)</f>
        <v>0</v>
      </c>
      <c r="F204" s="134">
        <f t="shared" si="7"/>
        <v>0</v>
      </c>
      <c r="G204" s="134">
        <f t="shared" si="9"/>
        <v>49687.952114538362</v>
      </c>
      <c r="H204" s="136">
        <f t="shared" si="8"/>
        <v>14956073.586476047</v>
      </c>
    </row>
    <row r="205" spans="1:8" x14ac:dyDescent="0.25">
      <c r="B205" s="119">
        <v>14</v>
      </c>
      <c r="C205" s="124">
        <v>48519</v>
      </c>
      <c r="D205" s="133">
        <f>SUMIF('Payment Buildup'!A$4:A$34,"="&amp;'Payment Schedule'!A205,'Payment Buildup'!P$4:P$34)</f>
        <v>0</v>
      </c>
      <c r="E205" s="134">
        <f>SUMIF('Payment Buildup'!A$4:A$34,"="&amp;'Payment Schedule'!A205,'Payment Buildup'!Q$4:Q$34)</f>
        <v>0</v>
      </c>
      <c r="F205" s="134">
        <f t="shared" si="7"/>
        <v>0</v>
      </c>
      <c r="G205" s="134">
        <f t="shared" si="9"/>
        <v>49853.578621586828</v>
      </c>
      <c r="H205" s="136">
        <f t="shared" si="8"/>
        <v>15005927.165097633</v>
      </c>
    </row>
    <row r="206" spans="1:8" x14ac:dyDescent="0.25">
      <c r="B206" s="119">
        <v>14</v>
      </c>
      <c r="C206" s="124">
        <v>48549</v>
      </c>
      <c r="D206" s="133">
        <f>SUMIF('Payment Buildup'!A$4:A$34,"="&amp;'Payment Schedule'!A206,'Payment Buildup'!P$4:P$34)</f>
        <v>0</v>
      </c>
      <c r="E206" s="134">
        <f>SUMIF('Payment Buildup'!A$4:A$34,"="&amp;'Payment Schedule'!A206,'Payment Buildup'!Q$4:Q$34)</f>
        <v>0</v>
      </c>
      <c r="F206" s="134">
        <f t="shared" si="7"/>
        <v>0</v>
      </c>
      <c r="G206" s="134">
        <f t="shared" si="9"/>
        <v>50019.757216992111</v>
      </c>
      <c r="H206" s="136">
        <f t="shared" si="8"/>
        <v>15055946.922314625</v>
      </c>
    </row>
    <row r="207" spans="1:8" x14ac:dyDescent="0.25">
      <c r="B207" s="119">
        <v>14</v>
      </c>
      <c r="C207" s="124">
        <v>48580</v>
      </c>
      <c r="D207" s="133">
        <f>SUMIF('Payment Buildup'!A$4:A$34,"="&amp;'Payment Schedule'!A207,'Payment Buildup'!P$4:P$34)</f>
        <v>0</v>
      </c>
      <c r="E207" s="134">
        <f>SUMIF('Payment Buildup'!A$4:A$34,"="&amp;'Payment Schedule'!A207,'Payment Buildup'!Q$4:Q$34)</f>
        <v>0</v>
      </c>
      <c r="F207" s="134">
        <f t="shared" si="7"/>
        <v>0</v>
      </c>
      <c r="G207" s="134">
        <f t="shared" si="9"/>
        <v>50186.489741048754</v>
      </c>
      <c r="H207" s="136">
        <f t="shared" si="8"/>
        <v>15106133.412055673</v>
      </c>
    </row>
    <row r="208" spans="1:8" x14ac:dyDescent="0.25">
      <c r="B208" s="119">
        <v>15</v>
      </c>
      <c r="C208" s="124">
        <v>48611</v>
      </c>
      <c r="D208" s="133">
        <f>SUMIF('Payment Buildup'!A$4:A$34,"="&amp;'Payment Schedule'!A208,'Payment Buildup'!P$4:P$34)</f>
        <v>0</v>
      </c>
      <c r="E208" s="134">
        <f>SUMIF('Payment Buildup'!A$4:A$34,"="&amp;'Payment Schedule'!A208,'Payment Buildup'!Q$4:Q$34)</f>
        <v>0</v>
      </c>
      <c r="F208" s="134">
        <f t="shared" si="7"/>
        <v>0</v>
      </c>
      <c r="G208" s="134">
        <f t="shared" si="9"/>
        <v>50353.778040185578</v>
      </c>
      <c r="H208" s="136">
        <f t="shared" si="8"/>
        <v>15156487.190095859</v>
      </c>
    </row>
    <row r="209" spans="1:8" x14ac:dyDescent="0.25">
      <c r="B209" s="119">
        <v>15</v>
      </c>
      <c r="C209" s="124">
        <v>48639</v>
      </c>
      <c r="D209" s="133">
        <f>SUMIF('Payment Buildup'!A$4:A$34,"="&amp;'Payment Schedule'!A209,'Payment Buildup'!P$4:P$34)</f>
        <v>0</v>
      </c>
      <c r="E209" s="134">
        <f>SUMIF('Payment Buildup'!A$4:A$34,"="&amp;'Payment Schedule'!A209,'Payment Buildup'!Q$4:Q$34)</f>
        <v>0</v>
      </c>
      <c r="F209" s="134">
        <f t="shared" si="7"/>
        <v>0</v>
      </c>
      <c r="G209" s="134">
        <f t="shared" si="9"/>
        <v>50521.623966986197</v>
      </c>
      <c r="H209" s="136">
        <f t="shared" si="8"/>
        <v>15207008.814062845</v>
      </c>
    </row>
    <row r="210" spans="1:8" x14ac:dyDescent="0.25">
      <c r="B210" s="119">
        <v>15</v>
      </c>
      <c r="C210" s="124">
        <v>48670</v>
      </c>
      <c r="D210" s="133">
        <f>SUMIF('Payment Buildup'!A$4:A$34,"="&amp;'Payment Schedule'!A210,'Payment Buildup'!P$4:P$34)</f>
        <v>0</v>
      </c>
      <c r="E210" s="134">
        <f>SUMIF('Payment Buildup'!A$4:A$34,"="&amp;'Payment Schedule'!A210,'Payment Buildup'!Q$4:Q$34)</f>
        <v>0</v>
      </c>
      <c r="F210" s="134">
        <f t="shared" si="7"/>
        <v>0</v>
      </c>
      <c r="G210" s="134">
        <f t="shared" si="9"/>
        <v>50690.029380209489</v>
      </c>
      <c r="H210" s="136">
        <f t="shared" si="8"/>
        <v>15257698.843443055</v>
      </c>
    </row>
    <row r="211" spans="1:8" x14ac:dyDescent="0.25">
      <c r="B211" s="119">
        <v>15</v>
      </c>
      <c r="C211" s="124">
        <v>48700</v>
      </c>
      <c r="D211" s="133">
        <f>SUMIF('Payment Buildup'!A$4:A$34,"="&amp;'Payment Schedule'!A211,'Payment Buildup'!P$4:P$34)</f>
        <v>0</v>
      </c>
      <c r="E211" s="134">
        <f>SUMIF('Payment Buildup'!A$4:A$34,"="&amp;'Payment Schedule'!A211,'Payment Buildup'!Q$4:Q$34)</f>
        <v>0</v>
      </c>
      <c r="F211" s="134">
        <f t="shared" si="7"/>
        <v>0</v>
      </c>
      <c r="G211" s="134">
        <f t="shared" si="9"/>
        <v>50858.996144810182</v>
      </c>
      <c r="H211" s="136">
        <f t="shared" si="8"/>
        <v>15308557.839587865</v>
      </c>
    </row>
    <row r="212" spans="1:8" x14ac:dyDescent="0.25">
      <c r="A212" s="119">
        <v>15</v>
      </c>
      <c r="B212" s="119">
        <v>15</v>
      </c>
      <c r="C212" s="124">
        <v>48731</v>
      </c>
      <c r="D212" s="133">
        <f>SUMIF('Payment Buildup'!A$4:A$34,"="&amp;'Payment Schedule'!A212,'Payment Buildup'!P$4:P$34)</f>
        <v>3988527.0662691006</v>
      </c>
      <c r="E212" s="134">
        <f>SUMIF('Payment Buildup'!A$4:A$34,"="&amp;'Payment Schedule'!A212,'Payment Buildup'!Q$4:Q$34)</f>
        <v>868213.2735243222</v>
      </c>
      <c r="F212" s="134">
        <f t="shared" si="7"/>
        <v>3120313.7927447786</v>
      </c>
      <c r="G212" s="134">
        <f t="shared" si="9"/>
        <v>51028.526131959552</v>
      </c>
      <c r="H212" s="136">
        <f t="shared" si="8"/>
        <v>12239272.572975047</v>
      </c>
    </row>
    <row r="213" spans="1:8" x14ac:dyDescent="0.25">
      <c r="B213" s="119">
        <v>15</v>
      </c>
      <c r="C213" s="124">
        <v>48761</v>
      </c>
      <c r="D213" s="133">
        <f>SUMIF('Payment Buildup'!A$4:A$34,"="&amp;'Payment Schedule'!A213,'Payment Buildup'!P$4:P$34)</f>
        <v>0</v>
      </c>
      <c r="E213" s="134">
        <f>SUMIF('Payment Buildup'!A$4:A$34,"="&amp;'Payment Schedule'!A213,'Payment Buildup'!Q$4:Q$34)</f>
        <v>0</v>
      </c>
      <c r="F213" s="134">
        <f t="shared" si="7"/>
        <v>0</v>
      </c>
      <c r="G213" s="134">
        <f t="shared" si="9"/>
        <v>40797.575243250161</v>
      </c>
      <c r="H213" s="136">
        <f t="shared" si="8"/>
        <v>12280070.148218296</v>
      </c>
    </row>
    <row r="214" spans="1:8" x14ac:dyDescent="0.25">
      <c r="B214" s="119">
        <v>15</v>
      </c>
      <c r="C214" s="124">
        <v>48792</v>
      </c>
      <c r="D214" s="133">
        <f>SUMIF('Payment Buildup'!A$4:A$34,"="&amp;'Payment Schedule'!A214,'Payment Buildup'!P$4:P$34)</f>
        <v>0</v>
      </c>
      <c r="E214" s="134">
        <f>SUMIF('Payment Buildup'!A$4:A$34,"="&amp;'Payment Schedule'!A214,'Payment Buildup'!Q$4:Q$34)</f>
        <v>0</v>
      </c>
      <c r="F214" s="134">
        <f t="shared" si="7"/>
        <v>0</v>
      </c>
      <c r="G214" s="134">
        <f t="shared" si="9"/>
        <v>40933.56716072766</v>
      </c>
      <c r="H214" s="136">
        <f t="shared" si="8"/>
        <v>12321003.715379024</v>
      </c>
    </row>
    <row r="215" spans="1:8" x14ac:dyDescent="0.25">
      <c r="B215" s="119">
        <v>15</v>
      </c>
      <c r="C215" s="124">
        <v>48823</v>
      </c>
      <c r="D215" s="133">
        <f>SUMIF('Payment Buildup'!A$4:A$34,"="&amp;'Payment Schedule'!A215,'Payment Buildup'!P$4:P$34)</f>
        <v>0</v>
      </c>
      <c r="E215" s="134">
        <f>SUMIF('Payment Buildup'!A$4:A$34,"="&amp;'Payment Schedule'!A215,'Payment Buildup'!Q$4:Q$34)</f>
        <v>0</v>
      </c>
      <c r="F215" s="134">
        <f t="shared" si="7"/>
        <v>0</v>
      </c>
      <c r="G215" s="134">
        <f t="shared" si="9"/>
        <v>41070.012384596746</v>
      </c>
      <c r="H215" s="136">
        <f t="shared" si="8"/>
        <v>12362073.727763621</v>
      </c>
    </row>
    <row r="216" spans="1:8" x14ac:dyDescent="0.25">
      <c r="B216" s="119">
        <v>15</v>
      </c>
      <c r="C216" s="124">
        <v>48853</v>
      </c>
      <c r="D216" s="133">
        <f>SUMIF('Payment Buildup'!A$4:A$34,"="&amp;'Payment Schedule'!A216,'Payment Buildup'!P$4:P$34)</f>
        <v>0</v>
      </c>
      <c r="E216" s="134">
        <f>SUMIF('Payment Buildup'!A$4:A$34,"="&amp;'Payment Schedule'!A216,'Payment Buildup'!Q$4:Q$34)</f>
        <v>0</v>
      </c>
      <c r="F216" s="134">
        <f t="shared" si="7"/>
        <v>0</v>
      </c>
      <c r="G216" s="134">
        <f t="shared" si="9"/>
        <v>41206.912425878741</v>
      </c>
      <c r="H216" s="136">
        <f t="shared" si="8"/>
        <v>12403280.640189501</v>
      </c>
    </row>
    <row r="217" spans="1:8" x14ac:dyDescent="0.25">
      <c r="B217" s="119">
        <v>15</v>
      </c>
      <c r="C217" s="124">
        <v>48884</v>
      </c>
      <c r="D217" s="133">
        <f>SUMIF('Payment Buildup'!A$4:A$34,"="&amp;'Payment Schedule'!A217,'Payment Buildup'!P$4:P$34)</f>
        <v>0</v>
      </c>
      <c r="E217" s="134">
        <f>SUMIF('Payment Buildup'!A$4:A$34,"="&amp;'Payment Schedule'!A217,'Payment Buildup'!Q$4:Q$34)</f>
        <v>0</v>
      </c>
      <c r="F217" s="134">
        <f t="shared" si="7"/>
        <v>0</v>
      </c>
      <c r="G217" s="134">
        <f t="shared" si="9"/>
        <v>41344.268800631668</v>
      </c>
      <c r="H217" s="136">
        <f t="shared" si="8"/>
        <v>12444624.908990132</v>
      </c>
    </row>
    <row r="218" spans="1:8" x14ac:dyDescent="0.25">
      <c r="B218" s="119">
        <v>15</v>
      </c>
      <c r="C218" s="124">
        <v>48914</v>
      </c>
      <c r="D218" s="133">
        <f>SUMIF('Payment Buildup'!A$4:A$34,"="&amp;'Payment Schedule'!A218,'Payment Buildup'!P$4:P$34)</f>
        <v>0</v>
      </c>
      <c r="E218" s="134">
        <f>SUMIF('Payment Buildup'!A$4:A$34,"="&amp;'Payment Schedule'!A218,'Payment Buildup'!Q$4:Q$34)</f>
        <v>0</v>
      </c>
      <c r="F218" s="134">
        <f t="shared" si="7"/>
        <v>0</v>
      </c>
      <c r="G218" s="134">
        <f t="shared" si="9"/>
        <v>41482.083029967107</v>
      </c>
      <c r="H218" s="136">
        <f t="shared" si="8"/>
        <v>12486106.992020098</v>
      </c>
    </row>
    <row r="219" spans="1:8" x14ac:dyDescent="0.25">
      <c r="B219" s="119">
        <v>15</v>
      </c>
      <c r="C219" s="124">
        <v>48945</v>
      </c>
      <c r="D219" s="133">
        <f>SUMIF('Payment Buildup'!A$4:A$34,"="&amp;'Payment Schedule'!A219,'Payment Buildup'!P$4:P$34)</f>
        <v>0</v>
      </c>
      <c r="E219" s="134">
        <f>SUMIF('Payment Buildup'!A$4:A$34,"="&amp;'Payment Schedule'!A219,'Payment Buildup'!Q$4:Q$34)</f>
        <v>0</v>
      </c>
      <c r="F219" s="134">
        <f t="shared" si="7"/>
        <v>0</v>
      </c>
      <c r="G219" s="134">
        <f t="shared" si="9"/>
        <v>41620.356640066995</v>
      </c>
      <c r="H219" s="136">
        <f t="shared" si="8"/>
        <v>12527727.348660165</v>
      </c>
    </row>
    <row r="220" spans="1:8" x14ac:dyDescent="0.25">
      <c r="B220" s="119">
        <v>16</v>
      </c>
      <c r="C220" s="124">
        <v>48976</v>
      </c>
      <c r="D220" s="133">
        <f>SUMIF('Payment Buildup'!A$4:A$34,"="&amp;'Payment Schedule'!A220,'Payment Buildup'!P$4:P$34)</f>
        <v>0</v>
      </c>
      <c r="E220" s="134">
        <f>SUMIF('Payment Buildup'!A$4:A$34,"="&amp;'Payment Schedule'!A220,'Payment Buildup'!Q$4:Q$34)</f>
        <v>0</v>
      </c>
      <c r="F220" s="134">
        <f t="shared" si="7"/>
        <v>0</v>
      </c>
      <c r="G220" s="134">
        <f t="shared" si="9"/>
        <v>41759.091162200551</v>
      </c>
      <c r="H220" s="136">
        <f t="shared" si="8"/>
        <v>12569486.439822366</v>
      </c>
    </row>
    <row r="221" spans="1:8" x14ac:dyDescent="0.25">
      <c r="B221" s="119">
        <v>16</v>
      </c>
      <c r="C221" s="124">
        <v>49004</v>
      </c>
      <c r="D221" s="133">
        <f>SUMIF('Payment Buildup'!A$4:A$34,"="&amp;'Payment Schedule'!A221,'Payment Buildup'!P$4:P$34)</f>
        <v>0</v>
      </c>
      <c r="E221" s="134">
        <f>SUMIF('Payment Buildup'!A$4:A$34,"="&amp;'Payment Schedule'!A221,'Payment Buildup'!Q$4:Q$34)</f>
        <v>0</v>
      </c>
      <c r="F221" s="134">
        <f t="shared" si="7"/>
        <v>0</v>
      </c>
      <c r="G221" s="134">
        <f t="shared" si="9"/>
        <v>41898.288132741225</v>
      </c>
      <c r="H221" s="136">
        <f t="shared" si="8"/>
        <v>12611384.727955109</v>
      </c>
    </row>
    <row r="222" spans="1:8" x14ac:dyDescent="0.25">
      <c r="B222" s="119">
        <v>16</v>
      </c>
      <c r="C222" s="124">
        <v>49035</v>
      </c>
      <c r="D222" s="133">
        <f>SUMIF('Payment Buildup'!A$4:A$34,"="&amp;'Payment Schedule'!A222,'Payment Buildup'!P$4:P$34)</f>
        <v>0</v>
      </c>
      <c r="E222" s="134">
        <f>SUMIF('Payment Buildup'!A$4:A$34,"="&amp;'Payment Schedule'!A222,'Payment Buildup'!Q$4:Q$34)</f>
        <v>0</v>
      </c>
      <c r="F222" s="134">
        <f t="shared" si="7"/>
        <v>0</v>
      </c>
      <c r="G222" s="134">
        <f t="shared" si="9"/>
        <v>42037.949093183699</v>
      </c>
      <c r="H222" s="136">
        <f t="shared" si="8"/>
        <v>12653422.677048292</v>
      </c>
    </row>
    <row r="223" spans="1:8" x14ac:dyDescent="0.25">
      <c r="B223" s="119">
        <v>16</v>
      </c>
      <c r="C223" s="124">
        <v>49065</v>
      </c>
      <c r="D223" s="133">
        <f>SUMIF('Payment Buildup'!A$4:A$34,"="&amp;'Payment Schedule'!A223,'Payment Buildup'!P$4:P$34)</f>
        <v>0</v>
      </c>
      <c r="E223" s="134">
        <f>SUMIF('Payment Buildup'!A$4:A$34,"="&amp;'Payment Schedule'!A223,'Payment Buildup'!Q$4:Q$34)</f>
        <v>0</v>
      </c>
      <c r="F223" s="134">
        <f t="shared" si="7"/>
        <v>0</v>
      </c>
      <c r="G223" s="134">
        <f t="shared" si="9"/>
        <v>42178.075590160974</v>
      </c>
      <c r="H223" s="136">
        <f t="shared" si="8"/>
        <v>12695600.752638454</v>
      </c>
    </row>
    <row r="224" spans="1:8" x14ac:dyDescent="0.25">
      <c r="A224" s="119">
        <v>16</v>
      </c>
      <c r="B224" s="119">
        <v>16</v>
      </c>
      <c r="C224" s="124">
        <v>49096</v>
      </c>
      <c r="D224" s="133">
        <f>SUMIF('Payment Buildup'!A$4:A$34,"="&amp;'Payment Schedule'!A224,'Payment Buildup'!P$4:P$34)</f>
        <v>4108182.8782571731</v>
      </c>
      <c r="E224" s="134">
        <f>SUMIF('Payment Buildup'!A$4:A$34,"="&amp;'Payment Schedule'!A224,'Payment Buildup'!Q$4:Q$34)</f>
        <v>894259.67173005186</v>
      </c>
      <c r="F224" s="134">
        <f t="shared" si="7"/>
        <v>3213923.2065271214</v>
      </c>
      <c r="G224" s="134">
        <f t="shared" si="9"/>
        <v>42318.669175461517</v>
      </c>
      <c r="H224" s="136">
        <f t="shared" si="8"/>
        <v>9523996.2152867932</v>
      </c>
    </row>
    <row r="225" spans="1:8" x14ac:dyDescent="0.25">
      <c r="B225" s="119">
        <v>16</v>
      </c>
      <c r="C225" s="124">
        <v>49126</v>
      </c>
      <c r="D225" s="133">
        <f>SUMIF('Payment Buildup'!A$4:A$34,"="&amp;'Payment Schedule'!A225,'Payment Buildup'!P$4:P$34)</f>
        <v>0</v>
      </c>
      <c r="E225" s="134">
        <f>SUMIF('Payment Buildup'!A$4:A$34,"="&amp;'Payment Schedule'!A225,'Payment Buildup'!Q$4:Q$34)</f>
        <v>0</v>
      </c>
      <c r="F225" s="134">
        <f t="shared" si="7"/>
        <v>0</v>
      </c>
      <c r="G225" s="134">
        <f t="shared" si="9"/>
        <v>31746.654050955978</v>
      </c>
      <c r="H225" s="136">
        <f t="shared" si="8"/>
        <v>9555742.8693377487</v>
      </c>
    </row>
    <row r="226" spans="1:8" x14ac:dyDescent="0.25">
      <c r="B226" s="119">
        <v>16</v>
      </c>
      <c r="C226" s="124">
        <v>49157</v>
      </c>
      <c r="D226" s="133">
        <f>SUMIF('Payment Buildup'!A$4:A$34,"="&amp;'Payment Schedule'!A226,'Payment Buildup'!P$4:P$34)</f>
        <v>0</v>
      </c>
      <c r="E226" s="134">
        <f>SUMIF('Payment Buildup'!A$4:A$34,"="&amp;'Payment Schedule'!A226,'Payment Buildup'!Q$4:Q$34)</f>
        <v>0</v>
      </c>
      <c r="F226" s="134">
        <f t="shared" si="7"/>
        <v>0</v>
      </c>
      <c r="G226" s="134">
        <f t="shared" si="9"/>
        <v>31852.476231125831</v>
      </c>
      <c r="H226" s="136">
        <f t="shared" si="8"/>
        <v>9587595.3455688749</v>
      </c>
    </row>
    <row r="227" spans="1:8" x14ac:dyDescent="0.25">
      <c r="B227" s="119">
        <v>16</v>
      </c>
      <c r="C227" s="124">
        <v>49188</v>
      </c>
      <c r="D227" s="133">
        <f>SUMIF('Payment Buildup'!A$4:A$34,"="&amp;'Payment Schedule'!A227,'Payment Buildup'!P$4:P$34)</f>
        <v>0</v>
      </c>
      <c r="E227" s="134">
        <f>SUMIF('Payment Buildup'!A$4:A$34,"="&amp;'Payment Schedule'!A227,'Payment Buildup'!Q$4:Q$34)</f>
        <v>0</v>
      </c>
      <c r="F227" s="134">
        <f t="shared" si="7"/>
        <v>0</v>
      </c>
      <c r="G227" s="134">
        <f t="shared" si="9"/>
        <v>31958.651151896251</v>
      </c>
      <c r="H227" s="136">
        <f t="shared" si="8"/>
        <v>9619553.9967207704</v>
      </c>
    </row>
    <row r="228" spans="1:8" x14ac:dyDescent="0.25">
      <c r="B228" s="119">
        <v>16</v>
      </c>
      <c r="C228" s="124">
        <v>49218</v>
      </c>
      <c r="D228" s="133">
        <f>SUMIF('Payment Buildup'!A$4:A$34,"="&amp;'Payment Schedule'!A228,'Payment Buildup'!P$4:P$34)</f>
        <v>0</v>
      </c>
      <c r="E228" s="134">
        <f>SUMIF('Payment Buildup'!A$4:A$34,"="&amp;'Payment Schedule'!A228,'Payment Buildup'!Q$4:Q$34)</f>
        <v>0</v>
      </c>
      <c r="F228" s="134">
        <f t="shared" si="7"/>
        <v>0</v>
      </c>
      <c r="G228" s="134">
        <f t="shared" si="9"/>
        <v>32065.179989069238</v>
      </c>
      <c r="H228" s="136">
        <f t="shared" si="8"/>
        <v>9651619.1767098401</v>
      </c>
    </row>
    <row r="229" spans="1:8" x14ac:dyDescent="0.25">
      <c r="B229" s="119">
        <v>16</v>
      </c>
      <c r="C229" s="124">
        <v>49249</v>
      </c>
      <c r="D229" s="133">
        <f>SUMIF('Payment Buildup'!A$4:A$34,"="&amp;'Payment Schedule'!A229,'Payment Buildup'!P$4:P$34)</f>
        <v>0</v>
      </c>
      <c r="E229" s="134">
        <f>SUMIF('Payment Buildup'!A$4:A$34,"="&amp;'Payment Schedule'!A229,'Payment Buildup'!Q$4:Q$34)</f>
        <v>0</v>
      </c>
      <c r="F229" s="134">
        <f t="shared" si="7"/>
        <v>0</v>
      </c>
      <c r="G229" s="134">
        <f t="shared" si="9"/>
        <v>32172.063922366135</v>
      </c>
      <c r="H229" s="136">
        <f t="shared" si="8"/>
        <v>9683791.2406322062</v>
      </c>
    </row>
    <row r="230" spans="1:8" x14ac:dyDescent="0.25">
      <c r="B230" s="119">
        <v>16</v>
      </c>
      <c r="C230" s="124">
        <v>49279</v>
      </c>
      <c r="D230" s="133">
        <f>SUMIF('Payment Buildup'!A$4:A$34,"="&amp;'Payment Schedule'!A230,'Payment Buildup'!P$4:P$34)</f>
        <v>0</v>
      </c>
      <c r="E230" s="134">
        <f>SUMIF('Payment Buildup'!A$4:A$34,"="&amp;'Payment Schedule'!A230,'Payment Buildup'!Q$4:Q$34)</f>
        <v>0</v>
      </c>
      <c r="F230" s="134">
        <f t="shared" si="7"/>
        <v>0</v>
      </c>
      <c r="G230" s="134">
        <f t="shared" si="9"/>
        <v>32279.304135440689</v>
      </c>
      <c r="H230" s="136">
        <f t="shared" si="8"/>
        <v>9716070.5447676461</v>
      </c>
    </row>
    <row r="231" spans="1:8" x14ac:dyDescent="0.25">
      <c r="B231" s="119">
        <v>16</v>
      </c>
      <c r="C231" s="124">
        <v>49310</v>
      </c>
      <c r="D231" s="133">
        <f>SUMIF('Payment Buildup'!A$4:A$34,"="&amp;'Payment Schedule'!A231,'Payment Buildup'!P$4:P$34)</f>
        <v>0</v>
      </c>
      <c r="E231" s="134">
        <f>SUMIF('Payment Buildup'!A$4:A$34,"="&amp;'Payment Schedule'!A231,'Payment Buildup'!Q$4:Q$34)</f>
        <v>0</v>
      </c>
      <c r="F231" s="134">
        <f t="shared" si="7"/>
        <v>0</v>
      </c>
      <c r="G231" s="134">
        <f t="shared" si="9"/>
        <v>32386.901815892157</v>
      </c>
      <c r="H231" s="136">
        <f t="shared" si="8"/>
        <v>9748457.4465835374</v>
      </c>
    </row>
    <row r="232" spans="1:8" x14ac:dyDescent="0.25">
      <c r="B232" s="119">
        <v>17</v>
      </c>
      <c r="C232" s="124">
        <v>49341</v>
      </c>
      <c r="D232" s="133">
        <f>SUMIF('Payment Buildup'!A$4:A$34,"="&amp;'Payment Schedule'!A232,'Payment Buildup'!P$4:P$34)</f>
        <v>0</v>
      </c>
      <c r="E232" s="134">
        <f>SUMIF('Payment Buildup'!A$4:A$34,"="&amp;'Payment Schedule'!A232,'Payment Buildup'!Q$4:Q$34)</f>
        <v>0</v>
      </c>
      <c r="F232" s="134">
        <f t="shared" ref="F232:F295" si="10">D232-E232</f>
        <v>0</v>
      </c>
      <c r="G232" s="134">
        <f t="shared" si="9"/>
        <v>32494.85815527846</v>
      </c>
      <c r="H232" s="136">
        <f t="shared" ref="H232:H295" si="11">H231+G232-F232</f>
        <v>9780952.3047388159</v>
      </c>
    </row>
    <row r="233" spans="1:8" x14ac:dyDescent="0.25">
      <c r="B233" s="119">
        <v>17</v>
      </c>
      <c r="C233" s="124">
        <v>49369</v>
      </c>
      <c r="D233" s="133">
        <f>SUMIF('Payment Buildup'!A$4:A$34,"="&amp;'Payment Schedule'!A233,'Payment Buildup'!P$4:P$34)</f>
        <v>0</v>
      </c>
      <c r="E233" s="134">
        <f>SUMIF('Payment Buildup'!A$4:A$34,"="&amp;'Payment Schedule'!A233,'Payment Buildup'!Q$4:Q$34)</f>
        <v>0</v>
      </c>
      <c r="F233" s="134">
        <f t="shared" si="10"/>
        <v>0</v>
      </c>
      <c r="G233" s="134">
        <f t="shared" si="9"/>
        <v>32603.174349129389</v>
      </c>
      <c r="H233" s="136">
        <f t="shared" si="11"/>
        <v>9813555.4790879451</v>
      </c>
    </row>
    <row r="234" spans="1:8" x14ac:dyDescent="0.25">
      <c r="B234" s="119">
        <v>17</v>
      </c>
      <c r="C234" s="124">
        <v>49400</v>
      </c>
      <c r="D234" s="133">
        <f>SUMIF('Payment Buildup'!A$4:A$34,"="&amp;'Payment Schedule'!A234,'Payment Buildup'!P$4:P$34)</f>
        <v>0</v>
      </c>
      <c r="E234" s="134">
        <f>SUMIF('Payment Buildup'!A$4:A$34,"="&amp;'Payment Schedule'!A234,'Payment Buildup'!Q$4:Q$34)</f>
        <v>0</v>
      </c>
      <c r="F234" s="134">
        <f t="shared" si="10"/>
        <v>0</v>
      </c>
      <c r="G234" s="134">
        <f t="shared" si="9"/>
        <v>32711.851596959819</v>
      </c>
      <c r="H234" s="136">
        <f t="shared" si="11"/>
        <v>9846267.330684904</v>
      </c>
    </row>
    <row r="235" spans="1:8" x14ac:dyDescent="0.25">
      <c r="B235" s="119">
        <v>17</v>
      </c>
      <c r="C235" s="124">
        <v>49430</v>
      </c>
      <c r="D235" s="133">
        <f>SUMIF('Payment Buildup'!A$4:A$34,"="&amp;'Payment Schedule'!A235,'Payment Buildup'!P$4:P$34)</f>
        <v>0</v>
      </c>
      <c r="E235" s="134">
        <f>SUMIF('Payment Buildup'!A$4:A$34,"="&amp;'Payment Schedule'!A235,'Payment Buildup'!Q$4:Q$34)</f>
        <v>0</v>
      </c>
      <c r="F235" s="134">
        <f t="shared" si="10"/>
        <v>0</v>
      </c>
      <c r="G235" s="134">
        <f t="shared" si="9"/>
        <v>32820.891102283014</v>
      </c>
      <c r="H235" s="136">
        <f t="shared" si="11"/>
        <v>9879088.2217871863</v>
      </c>
    </row>
    <row r="236" spans="1:8" x14ac:dyDescent="0.25">
      <c r="A236" s="119">
        <v>17</v>
      </c>
      <c r="B236" s="119">
        <v>17</v>
      </c>
      <c r="C236" s="124">
        <v>49461</v>
      </c>
      <c r="D236" s="133">
        <f>SUMIF('Payment Buildup'!A$4:A$34,"="&amp;'Payment Schedule'!A236,'Payment Buildup'!P$4:P$34)</f>
        <v>4231428.3646048894</v>
      </c>
      <c r="E236" s="134">
        <f>SUMIF('Payment Buildup'!A$4:A$34,"="&amp;'Payment Schedule'!A236,'Payment Buildup'!Q$4:Q$34)</f>
        <v>921087.46188195352</v>
      </c>
      <c r="F236" s="134">
        <f t="shared" si="10"/>
        <v>3310340.9027229361</v>
      </c>
      <c r="G236" s="134">
        <f t="shared" si="9"/>
        <v>32930.294072623954</v>
      </c>
      <c r="H236" s="136">
        <f t="shared" si="11"/>
        <v>6601677.6131368745</v>
      </c>
    </row>
    <row r="237" spans="1:8" x14ac:dyDescent="0.25">
      <c r="B237" s="119">
        <v>17</v>
      </c>
      <c r="C237" s="124">
        <v>49491</v>
      </c>
      <c r="D237" s="133">
        <f>SUMIF('Payment Buildup'!A$4:A$34,"="&amp;'Payment Schedule'!A237,'Payment Buildup'!P$4:P$34)</f>
        <v>0</v>
      </c>
      <c r="E237" s="134">
        <f>SUMIF('Payment Buildup'!A$4:A$34,"="&amp;'Payment Schedule'!A237,'Payment Buildup'!Q$4:Q$34)</f>
        <v>0</v>
      </c>
      <c r="F237" s="134">
        <f t="shared" si="10"/>
        <v>0</v>
      </c>
      <c r="G237" s="134">
        <f t="shared" si="9"/>
        <v>22005.592043789584</v>
      </c>
      <c r="H237" s="136">
        <f t="shared" si="11"/>
        <v>6623683.2051806645</v>
      </c>
    </row>
    <row r="238" spans="1:8" x14ac:dyDescent="0.25">
      <c r="B238" s="119">
        <v>17</v>
      </c>
      <c r="C238" s="124">
        <v>49522</v>
      </c>
      <c r="D238" s="133">
        <f>SUMIF('Payment Buildup'!A$4:A$34,"="&amp;'Payment Schedule'!A238,'Payment Buildup'!P$4:P$34)</f>
        <v>0</v>
      </c>
      <c r="E238" s="134">
        <f>SUMIF('Payment Buildup'!A$4:A$34,"="&amp;'Payment Schedule'!A238,'Payment Buildup'!Q$4:Q$34)</f>
        <v>0</v>
      </c>
      <c r="F238" s="134">
        <f t="shared" si="10"/>
        <v>0</v>
      </c>
      <c r="G238" s="134">
        <f t="shared" si="9"/>
        <v>22078.944017268885</v>
      </c>
      <c r="H238" s="136">
        <f t="shared" si="11"/>
        <v>6645762.1491979333</v>
      </c>
    </row>
    <row r="239" spans="1:8" x14ac:dyDescent="0.25">
      <c r="B239" s="119">
        <v>17</v>
      </c>
      <c r="C239" s="124">
        <v>49553</v>
      </c>
      <c r="D239" s="133">
        <f>SUMIF('Payment Buildup'!A$4:A$34,"="&amp;'Payment Schedule'!A239,'Payment Buildup'!P$4:P$34)</f>
        <v>0</v>
      </c>
      <c r="E239" s="134">
        <f>SUMIF('Payment Buildup'!A$4:A$34,"="&amp;'Payment Schedule'!A239,'Payment Buildup'!Q$4:Q$34)</f>
        <v>0</v>
      </c>
      <c r="F239" s="134">
        <f t="shared" si="10"/>
        <v>0</v>
      </c>
      <c r="G239" s="134">
        <f t="shared" si="9"/>
        <v>22152.540497326445</v>
      </c>
      <c r="H239" s="136">
        <f t="shared" si="11"/>
        <v>6667914.6896952596</v>
      </c>
    </row>
    <row r="240" spans="1:8" x14ac:dyDescent="0.25">
      <c r="B240" s="119">
        <v>17</v>
      </c>
      <c r="C240" s="124">
        <v>49583</v>
      </c>
      <c r="D240" s="133">
        <f>SUMIF('Payment Buildup'!A$4:A$34,"="&amp;'Payment Schedule'!A240,'Payment Buildup'!P$4:P$34)</f>
        <v>0</v>
      </c>
      <c r="E240" s="134">
        <f>SUMIF('Payment Buildup'!A$4:A$34,"="&amp;'Payment Schedule'!A240,'Payment Buildup'!Q$4:Q$34)</f>
        <v>0</v>
      </c>
      <c r="F240" s="134">
        <f t="shared" si="10"/>
        <v>0</v>
      </c>
      <c r="G240" s="134">
        <f t="shared" si="9"/>
        <v>22226.382298984201</v>
      </c>
      <c r="H240" s="136">
        <f t="shared" si="11"/>
        <v>6690141.0719942441</v>
      </c>
    </row>
    <row r="241" spans="1:8" x14ac:dyDescent="0.25">
      <c r="B241" s="119">
        <v>17</v>
      </c>
      <c r="C241" s="124">
        <v>49614</v>
      </c>
      <c r="D241" s="133">
        <f>SUMIF('Payment Buildup'!A$4:A$34,"="&amp;'Payment Schedule'!A241,'Payment Buildup'!P$4:P$34)</f>
        <v>0</v>
      </c>
      <c r="E241" s="134">
        <f>SUMIF('Payment Buildup'!A$4:A$34,"="&amp;'Payment Schedule'!A241,'Payment Buildup'!Q$4:Q$34)</f>
        <v>0</v>
      </c>
      <c r="F241" s="134">
        <f t="shared" si="10"/>
        <v>0</v>
      </c>
      <c r="G241" s="134">
        <f t="shared" si="9"/>
        <v>22300.470239980816</v>
      </c>
      <c r="H241" s="136">
        <f t="shared" si="11"/>
        <v>6712441.5422342252</v>
      </c>
    </row>
    <row r="242" spans="1:8" x14ac:dyDescent="0.25">
      <c r="B242" s="119">
        <v>17</v>
      </c>
      <c r="C242" s="124">
        <v>49644</v>
      </c>
      <c r="D242" s="133">
        <f>SUMIF('Payment Buildup'!A$4:A$34,"="&amp;'Payment Schedule'!A242,'Payment Buildup'!P$4:P$34)</f>
        <v>0</v>
      </c>
      <c r="E242" s="134">
        <f>SUMIF('Payment Buildup'!A$4:A$34,"="&amp;'Payment Schedule'!A242,'Payment Buildup'!Q$4:Q$34)</f>
        <v>0</v>
      </c>
      <c r="F242" s="134">
        <f t="shared" si="10"/>
        <v>0</v>
      </c>
      <c r="G242" s="134">
        <f t="shared" si="9"/>
        <v>22374.805140780751</v>
      </c>
      <c r="H242" s="136">
        <f t="shared" si="11"/>
        <v>6734816.3473750055</v>
      </c>
    </row>
    <row r="243" spans="1:8" x14ac:dyDescent="0.25">
      <c r="B243" s="119">
        <v>17</v>
      </c>
      <c r="C243" s="124">
        <v>49675</v>
      </c>
      <c r="D243" s="133">
        <f>SUMIF('Payment Buildup'!A$4:A$34,"="&amp;'Payment Schedule'!A243,'Payment Buildup'!P$4:P$34)</f>
        <v>0</v>
      </c>
      <c r="E243" s="134">
        <f>SUMIF('Payment Buildup'!A$4:A$34,"="&amp;'Payment Schedule'!A243,'Payment Buildup'!Q$4:Q$34)</f>
        <v>0</v>
      </c>
      <c r="F243" s="134">
        <f t="shared" si="10"/>
        <v>0</v>
      </c>
      <c r="G243" s="134">
        <f t="shared" si="9"/>
        <v>22449.387824583355</v>
      </c>
      <c r="H243" s="136">
        <f t="shared" si="11"/>
        <v>6757265.7351995893</v>
      </c>
    </row>
    <row r="244" spans="1:8" x14ac:dyDescent="0.25">
      <c r="B244" s="119">
        <v>18</v>
      </c>
      <c r="C244" s="124">
        <v>49706</v>
      </c>
      <c r="D244" s="133">
        <f>SUMIF('Payment Buildup'!A$4:A$34,"="&amp;'Payment Schedule'!A244,'Payment Buildup'!P$4:P$34)</f>
        <v>0</v>
      </c>
      <c r="E244" s="134">
        <f>SUMIF('Payment Buildup'!A$4:A$34,"="&amp;'Payment Schedule'!A244,'Payment Buildup'!Q$4:Q$34)</f>
        <v>0</v>
      </c>
      <c r="F244" s="134">
        <f t="shared" si="10"/>
        <v>0</v>
      </c>
      <c r="G244" s="134">
        <f t="shared" si="9"/>
        <v>22524.219117331966</v>
      </c>
      <c r="H244" s="136">
        <f t="shared" si="11"/>
        <v>6779789.9543169215</v>
      </c>
    </row>
    <row r="245" spans="1:8" x14ac:dyDescent="0.25">
      <c r="B245" s="119">
        <v>18</v>
      </c>
      <c r="C245" s="124">
        <v>49735</v>
      </c>
      <c r="D245" s="133">
        <f>SUMIF('Payment Buildup'!A$4:A$34,"="&amp;'Payment Schedule'!A245,'Payment Buildup'!P$4:P$34)</f>
        <v>0</v>
      </c>
      <c r="E245" s="134">
        <f>SUMIF('Payment Buildup'!A$4:A$34,"="&amp;'Payment Schedule'!A245,'Payment Buildup'!Q$4:Q$34)</f>
        <v>0</v>
      </c>
      <c r="F245" s="134">
        <f t="shared" si="10"/>
        <v>0</v>
      </c>
      <c r="G245" s="134">
        <f t="shared" si="9"/>
        <v>22599.299847723072</v>
      </c>
      <c r="H245" s="136">
        <f t="shared" si="11"/>
        <v>6802389.2541646445</v>
      </c>
    </row>
    <row r="246" spans="1:8" x14ac:dyDescent="0.25">
      <c r="B246" s="119">
        <v>18</v>
      </c>
      <c r="C246" s="124">
        <v>49766</v>
      </c>
      <c r="D246" s="133">
        <f>SUMIF('Payment Buildup'!A$4:A$34,"="&amp;'Payment Schedule'!A246,'Payment Buildup'!P$4:P$34)</f>
        <v>0</v>
      </c>
      <c r="E246" s="134">
        <f>SUMIF('Payment Buildup'!A$4:A$34,"="&amp;'Payment Schedule'!A246,'Payment Buildup'!Q$4:Q$34)</f>
        <v>0</v>
      </c>
      <c r="F246" s="134">
        <f t="shared" si="10"/>
        <v>0</v>
      </c>
      <c r="G246" s="134">
        <f t="shared" si="9"/>
        <v>22674.630847215481</v>
      </c>
      <c r="H246" s="136">
        <f t="shared" si="11"/>
        <v>6825063.8850118602</v>
      </c>
    </row>
    <row r="247" spans="1:8" x14ac:dyDescent="0.25">
      <c r="B247" s="119">
        <v>18</v>
      </c>
      <c r="C247" s="124">
        <v>49796</v>
      </c>
      <c r="D247" s="133">
        <f>SUMIF('Payment Buildup'!A$4:A$34,"="&amp;'Payment Schedule'!A247,'Payment Buildup'!P$4:P$34)</f>
        <v>0</v>
      </c>
      <c r="E247" s="134">
        <f>SUMIF('Payment Buildup'!A$4:A$34,"="&amp;'Payment Schedule'!A247,'Payment Buildup'!Q$4:Q$34)</f>
        <v>0</v>
      </c>
      <c r="F247" s="134">
        <f t="shared" si="10"/>
        <v>0</v>
      </c>
      <c r="G247" s="134">
        <f t="shared" si="9"/>
        <v>22750.212950039535</v>
      </c>
      <c r="H247" s="136">
        <f t="shared" si="11"/>
        <v>6847814.0979618998</v>
      </c>
    </row>
    <row r="248" spans="1:8" x14ac:dyDescent="0.25">
      <c r="A248" s="119">
        <v>18</v>
      </c>
      <c r="B248" s="119">
        <v>18</v>
      </c>
      <c r="C248" s="124">
        <v>49827</v>
      </c>
      <c r="D248" s="133">
        <f>SUMIF('Payment Buildup'!A$4:A$34,"="&amp;'Payment Schedule'!A248,'Payment Buildup'!P$4:P$34)</f>
        <v>4358371.2155430354</v>
      </c>
      <c r="E248" s="134">
        <f>SUMIF('Payment Buildup'!A$4:A$34,"="&amp;'Payment Schedule'!A248,'Payment Buildup'!Q$4:Q$34)</f>
        <v>948720.0857384121</v>
      </c>
      <c r="F248" s="134">
        <f t="shared" si="10"/>
        <v>3409651.1298046233</v>
      </c>
      <c r="G248" s="134">
        <f t="shared" si="9"/>
        <v>22826.046993206335</v>
      </c>
      <c r="H248" s="136">
        <f t="shared" si="11"/>
        <v>3460989.0151504828</v>
      </c>
    </row>
    <row r="249" spans="1:8" x14ac:dyDescent="0.25">
      <c r="B249" s="119">
        <v>18</v>
      </c>
      <c r="C249" s="124">
        <v>49857</v>
      </c>
      <c r="D249" s="133">
        <f>SUMIF('Payment Buildup'!A$4:A$34,"="&amp;'Payment Schedule'!A249,'Payment Buildup'!P$4:P$34)</f>
        <v>0</v>
      </c>
      <c r="E249" s="134">
        <f>SUMIF('Payment Buildup'!A$4:A$34,"="&amp;'Payment Schedule'!A249,'Payment Buildup'!Q$4:Q$34)</f>
        <v>0</v>
      </c>
      <c r="F249" s="134">
        <f t="shared" si="10"/>
        <v>0</v>
      </c>
      <c r="G249" s="134">
        <f t="shared" si="9"/>
        <v>11536.63005050161</v>
      </c>
      <c r="H249" s="136">
        <f t="shared" si="11"/>
        <v>3472525.6452009846</v>
      </c>
    </row>
    <row r="250" spans="1:8" x14ac:dyDescent="0.25">
      <c r="B250" s="119">
        <v>18</v>
      </c>
      <c r="C250" s="124">
        <v>49888</v>
      </c>
      <c r="D250" s="133">
        <f>SUMIF('Payment Buildup'!A$4:A$34,"="&amp;'Payment Schedule'!A250,'Payment Buildup'!P$4:P$34)</f>
        <v>0</v>
      </c>
      <c r="E250" s="134">
        <f>SUMIF('Payment Buildup'!A$4:A$34,"="&amp;'Payment Schedule'!A250,'Payment Buildup'!Q$4:Q$34)</f>
        <v>0</v>
      </c>
      <c r="F250" s="134">
        <f t="shared" si="10"/>
        <v>0</v>
      </c>
      <c r="G250" s="134">
        <f t="shared" si="9"/>
        <v>11575.085484003283</v>
      </c>
      <c r="H250" s="136">
        <f t="shared" si="11"/>
        <v>3484100.7306849877</v>
      </c>
    </row>
    <row r="251" spans="1:8" x14ac:dyDescent="0.25">
      <c r="B251" s="119">
        <v>18</v>
      </c>
      <c r="C251" s="124">
        <v>49919</v>
      </c>
      <c r="D251" s="133">
        <f>SUMIF('Payment Buildup'!A$4:A$34,"="&amp;'Payment Schedule'!A251,'Payment Buildup'!P$4:P$34)</f>
        <v>0</v>
      </c>
      <c r="E251" s="134">
        <f>SUMIF('Payment Buildup'!A$4:A$34,"="&amp;'Payment Schedule'!A251,'Payment Buildup'!Q$4:Q$34)</f>
        <v>0</v>
      </c>
      <c r="F251" s="134">
        <f t="shared" si="10"/>
        <v>0</v>
      </c>
      <c r="G251" s="134">
        <f t="shared" si="9"/>
        <v>11613.669102283293</v>
      </c>
      <c r="H251" s="136">
        <f t="shared" si="11"/>
        <v>3495714.3997872709</v>
      </c>
    </row>
    <row r="252" spans="1:8" x14ac:dyDescent="0.25">
      <c r="B252" s="119">
        <v>18</v>
      </c>
      <c r="C252" s="124">
        <v>49949</v>
      </c>
      <c r="D252" s="133">
        <f>SUMIF('Payment Buildup'!A$4:A$34,"="&amp;'Payment Schedule'!A252,'Payment Buildup'!P$4:P$34)</f>
        <v>0</v>
      </c>
      <c r="E252" s="134">
        <f>SUMIF('Payment Buildup'!A$4:A$34,"="&amp;'Payment Schedule'!A252,'Payment Buildup'!Q$4:Q$34)</f>
        <v>0</v>
      </c>
      <c r="F252" s="134">
        <f t="shared" si="10"/>
        <v>0</v>
      </c>
      <c r="G252" s="134">
        <f t="shared" si="9"/>
        <v>11652.381332624238</v>
      </c>
      <c r="H252" s="136">
        <f t="shared" si="11"/>
        <v>3507366.7811198952</v>
      </c>
    </row>
    <row r="253" spans="1:8" x14ac:dyDescent="0.25">
      <c r="B253" s="119">
        <v>18</v>
      </c>
      <c r="C253" s="124">
        <v>49980</v>
      </c>
      <c r="D253" s="133">
        <f>SUMIF('Payment Buildup'!A$4:A$34,"="&amp;'Payment Schedule'!A253,'Payment Buildup'!P$4:P$34)</f>
        <v>0</v>
      </c>
      <c r="E253" s="134">
        <f>SUMIF('Payment Buildup'!A$4:A$34,"="&amp;'Payment Schedule'!A253,'Payment Buildup'!Q$4:Q$34)</f>
        <v>0</v>
      </c>
      <c r="F253" s="134">
        <f t="shared" si="10"/>
        <v>0</v>
      </c>
      <c r="G253" s="134">
        <f t="shared" si="9"/>
        <v>11691.222603732984</v>
      </c>
      <c r="H253" s="136">
        <f t="shared" si="11"/>
        <v>3519058.0037236284</v>
      </c>
    </row>
    <row r="254" spans="1:8" x14ac:dyDescent="0.25">
      <c r="B254" s="119">
        <v>18</v>
      </c>
      <c r="C254" s="124">
        <v>50010</v>
      </c>
      <c r="D254" s="133">
        <f>SUMIF('Payment Buildup'!A$4:A$34,"="&amp;'Payment Schedule'!A254,'Payment Buildup'!P$4:P$34)</f>
        <v>0</v>
      </c>
      <c r="E254" s="134">
        <f>SUMIF('Payment Buildup'!A$4:A$34,"="&amp;'Payment Schedule'!A254,'Payment Buildup'!Q$4:Q$34)</f>
        <v>0</v>
      </c>
      <c r="F254" s="134">
        <f t="shared" si="10"/>
        <v>0</v>
      </c>
      <c r="G254" s="134">
        <f t="shared" si="9"/>
        <v>11730.193345745429</v>
      </c>
      <c r="H254" s="136">
        <f t="shared" si="11"/>
        <v>3530788.1970693739</v>
      </c>
    </row>
    <row r="255" spans="1:8" x14ac:dyDescent="0.25">
      <c r="B255" s="119">
        <v>18</v>
      </c>
      <c r="C255" s="124">
        <v>50041</v>
      </c>
      <c r="D255" s="133">
        <f>SUMIF('Payment Buildup'!A$4:A$34,"="&amp;'Payment Schedule'!A255,'Payment Buildup'!P$4:P$34)</f>
        <v>0</v>
      </c>
      <c r="E255" s="134">
        <f>SUMIF('Payment Buildup'!A$4:A$34,"="&amp;'Payment Schedule'!A255,'Payment Buildup'!Q$4:Q$34)</f>
        <v>0</v>
      </c>
      <c r="F255" s="134">
        <f t="shared" si="10"/>
        <v>0</v>
      </c>
      <c r="G255" s="134">
        <f t="shared" si="9"/>
        <v>11769.293990231246</v>
      </c>
      <c r="H255" s="136">
        <f t="shared" si="11"/>
        <v>3542557.491059605</v>
      </c>
    </row>
    <row r="256" spans="1:8" x14ac:dyDescent="0.25">
      <c r="B256" s="119">
        <f>B244+1</f>
        <v>19</v>
      </c>
      <c r="C256" s="124">
        <v>50072</v>
      </c>
      <c r="D256" s="133">
        <f>SUMIF('Payment Buildup'!A$4:A$34,"="&amp;'Payment Schedule'!A256,'Payment Buildup'!P$4:P$34)</f>
        <v>0</v>
      </c>
      <c r="E256" s="134">
        <f>SUMIF('Payment Buildup'!A$4:A$34,"="&amp;'Payment Schedule'!A256,'Payment Buildup'!Q$4:Q$34)</f>
        <v>0</v>
      </c>
      <c r="F256" s="134">
        <f t="shared" si="10"/>
        <v>0</v>
      </c>
      <c r="G256" s="134">
        <f t="shared" si="9"/>
        <v>11808.524970198685</v>
      </c>
      <c r="H256" s="136">
        <f t="shared" si="11"/>
        <v>3554366.0160298035</v>
      </c>
    </row>
    <row r="257" spans="1:8" x14ac:dyDescent="0.25">
      <c r="B257" s="119">
        <f t="shared" ref="B257:B259" si="12">B245+1</f>
        <v>19</v>
      </c>
      <c r="C257" s="124">
        <v>50100</v>
      </c>
      <c r="D257" s="133">
        <f>SUMIF('Payment Buildup'!A$4:A$34,"="&amp;'Payment Schedule'!A257,'Payment Buildup'!P$4:P$34)</f>
        <v>0</v>
      </c>
      <c r="E257" s="134">
        <f>SUMIF('Payment Buildup'!A$4:A$34,"="&amp;'Payment Schedule'!A257,'Payment Buildup'!Q$4:Q$34)</f>
        <v>0</v>
      </c>
      <c r="F257" s="134">
        <f t="shared" si="10"/>
        <v>0</v>
      </c>
      <c r="G257" s="134">
        <f t="shared" si="9"/>
        <v>11847.886720099346</v>
      </c>
      <c r="H257" s="136">
        <f t="shared" si="11"/>
        <v>3566213.902749903</v>
      </c>
    </row>
    <row r="258" spans="1:8" x14ac:dyDescent="0.25">
      <c r="B258" s="119">
        <f t="shared" si="12"/>
        <v>19</v>
      </c>
      <c r="C258" s="124">
        <v>50131</v>
      </c>
      <c r="D258" s="133">
        <f>SUMIF('Payment Buildup'!A$4:A$34,"="&amp;'Payment Schedule'!A258,'Payment Buildup'!P$4:P$34)</f>
        <v>0</v>
      </c>
      <c r="E258" s="134">
        <f>SUMIF('Payment Buildup'!A$4:A$34,"="&amp;'Payment Schedule'!A258,'Payment Buildup'!Q$4:Q$34)</f>
        <v>0</v>
      </c>
      <c r="F258" s="134">
        <f t="shared" si="10"/>
        <v>0</v>
      </c>
      <c r="G258" s="134">
        <f t="shared" si="9"/>
        <v>11887.37967583301</v>
      </c>
      <c r="H258" s="136">
        <f t="shared" si="11"/>
        <v>3578101.2824257361</v>
      </c>
    </row>
    <row r="259" spans="1:8" x14ac:dyDescent="0.25">
      <c r="B259" s="119">
        <f t="shared" si="12"/>
        <v>19</v>
      </c>
      <c r="C259" s="124">
        <v>50161</v>
      </c>
      <c r="D259" s="133">
        <f>SUMIF('Payment Buildup'!A$4:A$34,"="&amp;'Payment Schedule'!A259,'Payment Buildup'!P$4:P$34)</f>
        <v>0</v>
      </c>
      <c r="E259" s="134">
        <f>SUMIF('Payment Buildup'!A$4:A$34,"="&amp;'Payment Schedule'!A259,'Payment Buildup'!Q$4:Q$34)</f>
        <v>0</v>
      </c>
      <c r="F259" s="134">
        <f t="shared" si="10"/>
        <v>0</v>
      </c>
      <c r="G259" s="134">
        <f t="shared" si="9"/>
        <v>11927.004274752455</v>
      </c>
      <c r="H259" s="136">
        <f t="shared" si="11"/>
        <v>3590028.2867004885</v>
      </c>
    </row>
    <row r="260" spans="1:8" x14ac:dyDescent="0.25">
      <c r="A260" s="119">
        <f t="shared" ref="A260:B265" si="13">A248+1</f>
        <v>19</v>
      </c>
      <c r="B260" s="119">
        <f t="shared" si="13"/>
        <v>19</v>
      </c>
      <c r="C260" s="124">
        <v>50192</v>
      </c>
      <c r="D260" s="133">
        <f>SUMIF('Payment Buildup'!A$4:A$34,"="&amp;'Payment Schedule'!A260,'Payment Buildup'!P$4:P$34)</f>
        <v>4489122.3520093272</v>
      </c>
      <c r="E260" s="134">
        <f>SUMIF('Payment Buildup'!A$4:A$34,"="&amp;'Payment Schedule'!A260,'Payment Buildup'!Q$4:Q$34)</f>
        <v>977181.68831056438</v>
      </c>
      <c r="F260" s="134">
        <f t="shared" si="10"/>
        <v>3511940.6636987627</v>
      </c>
      <c r="G260" s="134">
        <f t="shared" si="9"/>
        <v>11966.760955668296</v>
      </c>
      <c r="H260" s="136">
        <f t="shared" si="11"/>
        <v>90054.383957394399</v>
      </c>
    </row>
    <row r="261" spans="1:8" x14ac:dyDescent="0.25">
      <c r="B261" s="119">
        <f t="shared" si="13"/>
        <v>19</v>
      </c>
      <c r="C261" s="124">
        <v>50222</v>
      </c>
      <c r="D261" s="133">
        <f>SUMIF('Payment Buildup'!A$4:A$34,"="&amp;'Payment Schedule'!A261,'Payment Buildup'!P$4:P$34)</f>
        <v>0</v>
      </c>
      <c r="E261" s="134">
        <f>SUMIF('Payment Buildup'!A$4:A$34,"="&amp;'Payment Schedule'!A261,'Payment Buildup'!Q$4:Q$34)</f>
        <v>0</v>
      </c>
      <c r="F261" s="134">
        <f t="shared" si="10"/>
        <v>0</v>
      </c>
      <c r="G261" s="134">
        <f t="shared" si="9"/>
        <v>300.18127985798134</v>
      </c>
      <c r="H261" s="136">
        <f t="shared" si="11"/>
        <v>90354.565237252376</v>
      </c>
    </row>
    <row r="262" spans="1:8" x14ac:dyDescent="0.25">
      <c r="B262" s="119">
        <f t="shared" si="13"/>
        <v>19</v>
      </c>
      <c r="C262" s="124">
        <v>50253</v>
      </c>
      <c r="D262" s="133">
        <f>SUMIF('Payment Buildup'!A$4:A$34,"="&amp;'Payment Schedule'!A262,'Payment Buildup'!P$4:P$34)</f>
        <v>0</v>
      </c>
      <c r="E262" s="134">
        <f>SUMIF('Payment Buildup'!A$4:A$34,"="&amp;'Payment Schedule'!A262,'Payment Buildup'!Q$4:Q$34)</f>
        <v>0</v>
      </c>
      <c r="F262" s="134">
        <f t="shared" si="10"/>
        <v>0</v>
      </c>
      <c r="G262" s="134">
        <f t="shared" si="9"/>
        <v>301.18188412417459</v>
      </c>
      <c r="H262" s="136">
        <f t="shared" si="11"/>
        <v>90655.747121376553</v>
      </c>
    </row>
    <row r="263" spans="1:8" x14ac:dyDescent="0.25">
      <c r="B263" s="119">
        <f t="shared" si="13"/>
        <v>19</v>
      </c>
      <c r="C263" s="124">
        <v>50284</v>
      </c>
      <c r="D263" s="133">
        <f>SUMIF('Payment Buildup'!A$4:A$34,"="&amp;'Payment Schedule'!A263,'Payment Buildup'!P$4:P$34)</f>
        <v>0</v>
      </c>
      <c r="E263" s="134">
        <f>SUMIF('Payment Buildup'!A$4:A$34,"="&amp;'Payment Schedule'!A263,'Payment Buildup'!Q$4:Q$34)</f>
        <v>0</v>
      </c>
      <c r="F263" s="134">
        <f t="shared" si="10"/>
        <v>0</v>
      </c>
      <c r="G263" s="134">
        <f t="shared" si="9"/>
        <v>302.18582373792185</v>
      </c>
      <c r="H263" s="136">
        <f t="shared" si="11"/>
        <v>90957.932945114473</v>
      </c>
    </row>
    <row r="264" spans="1:8" x14ac:dyDescent="0.25">
      <c r="B264" s="119">
        <f t="shared" si="13"/>
        <v>19</v>
      </c>
      <c r="C264" s="124">
        <v>50314</v>
      </c>
      <c r="D264" s="133">
        <f>SUMIF('Payment Buildup'!A$4:A$34,"="&amp;'Payment Schedule'!A264,'Payment Buildup'!P$4:P$34)</f>
        <v>0</v>
      </c>
      <c r="E264" s="134">
        <f>SUMIF('Payment Buildup'!A$4:A$34,"="&amp;'Payment Schedule'!A264,'Payment Buildup'!Q$4:Q$34)</f>
        <v>0</v>
      </c>
      <c r="F264" s="134">
        <f t="shared" si="10"/>
        <v>0</v>
      </c>
      <c r="G264" s="134">
        <f t="shared" si="9"/>
        <v>303.19310981704825</v>
      </c>
      <c r="H264" s="136">
        <f t="shared" si="11"/>
        <v>91261.126054931519</v>
      </c>
    </row>
    <row r="265" spans="1:8" x14ac:dyDescent="0.25">
      <c r="B265" s="119">
        <f t="shared" si="13"/>
        <v>19</v>
      </c>
      <c r="C265" s="124">
        <v>50345</v>
      </c>
      <c r="D265" s="133">
        <f>SUMIF('Payment Buildup'!A$4:A$34,"="&amp;'Payment Schedule'!A265,'Payment Buildup'!P$4:P$34)</f>
        <v>0</v>
      </c>
      <c r="E265" s="134">
        <f>SUMIF('Payment Buildup'!A$4:A$34,"="&amp;'Payment Schedule'!A265,'Payment Buildup'!Q$4:Q$34)</f>
        <v>0</v>
      </c>
      <c r="F265" s="134">
        <f t="shared" si="10"/>
        <v>0</v>
      </c>
      <c r="G265" s="134">
        <f t="shared" si="9"/>
        <v>304.20375351643844</v>
      </c>
      <c r="H265" s="136">
        <f t="shared" si="11"/>
        <v>91565.329808447961</v>
      </c>
    </row>
    <row r="266" spans="1:8" x14ac:dyDescent="0.25">
      <c r="B266" s="119">
        <f>B254+1</f>
        <v>19</v>
      </c>
      <c r="C266" s="124">
        <v>50375</v>
      </c>
      <c r="D266" s="133">
        <f>SUMIF('Payment Buildup'!A$4:A$34,"="&amp;'Payment Schedule'!A266,'Payment Buildup'!P$4:P$34)</f>
        <v>0</v>
      </c>
      <c r="E266" s="134">
        <f>SUMIF('Payment Buildup'!A$4:A$34,"="&amp;'Payment Schedule'!A266,'Payment Buildup'!Q$4:Q$34)</f>
        <v>0</v>
      </c>
      <c r="F266" s="134">
        <f t="shared" si="10"/>
        <v>0</v>
      </c>
      <c r="G266" s="134">
        <f t="shared" ref="G266:G329" si="14">H265*(C$6/12)</f>
        <v>305.21776602815987</v>
      </c>
      <c r="H266" s="136">
        <f t="shared" si="11"/>
        <v>91870.547574476121</v>
      </c>
    </row>
    <row r="267" spans="1:8" x14ac:dyDescent="0.25">
      <c r="B267" s="119">
        <f t="shared" ref="B267" si="15">B255+1</f>
        <v>19</v>
      </c>
      <c r="C267" s="124">
        <v>50406</v>
      </c>
      <c r="D267" s="133">
        <f>SUMIF('Payment Buildup'!A$4:A$34,"="&amp;'Payment Schedule'!A267,'Payment Buildup'!P$4:P$34)</f>
        <v>0</v>
      </c>
      <c r="E267" s="134">
        <f>SUMIF('Payment Buildup'!A$4:A$34,"="&amp;'Payment Schedule'!A267,'Payment Buildup'!Q$4:Q$34)</f>
        <v>0</v>
      </c>
      <c r="F267" s="134">
        <f t="shared" si="10"/>
        <v>0</v>
      </c>
      <c r="G267" s="134">
        <f t="shared" si="14"/>
        <v>306.23515858158709</v>
      </c>
      <c r="H267" s="136">
        <f t="shared" si="11"/>
        <v>92176.782733057713</v>
      </c>
    </row>
    <row r="268" spans="1:8" x14ac:dyDescent="0.25">
      <c r="B268" s="119">
        <f>B256+1</f>
        <v>20</v>
      </c>
      <c r="C268" s="124">
        <v>50437</v>
      </c>
      <c r="D268" s="133">
        <f>SUMIF('Payment Buildup'!A$4:A$34,"="&amp;'Payment Schedule'!A268,'Payment Buildup'!P$4:P$34)</f>
        <v>0</v>
      </c>
      <c r="E268" s="134">
        <f>SUMIF('Payment Buildup'!A$4:A$34,"="&amp;'Payment Schedule'!A268,'Payment Buildup'!Q$4:Q$34)</f>
        <v>0</v>
      </c>
      <c r="F268" s="134">
        <f t="shared" si="10"/>
        <v>0</v>
      </c>
      <c r="G268" s="134">
        <f t="shared" si="14"/>
        <v>307.25594244352573</v>
      </c>
      <c r="H268" s="136">
        <f t="shared" si="11"/>
        <v>92484.038675501244</v>
      </c>
    </row>
    <row r="269" spans="1:8" x14ac:dyDescent="0.25">
      <c r="B269" s="119">
        <f t="shared" ref="B269:B271" si="16">B257+1</f>
        <v>20</v>
      </c>
      <c r="C269" s="124">
        <v>50465</v>
      </c>
      <c r="D269" s="133">
        <f>SUMIF('Payment Buildup'!A$4:A$34,"="&amp;'Payment Schedule'!A269,'Payment Buildup'!P$4:P$34)</f>
        <v>0</v>
      </c>
      <c r="E269" s="134">
        <f>SUMIF('Payment Buildup'!A$4:A$34,"="&amp;'Payment Schedule'!A269,'Payment Buildup'!Q$4:Q$34)</f>
        <v>0</v>
      </c>
      <c r="F269" s="134">
        <f t="shared" si="10"/>
        <v>0</v>
      </c>
      <c r="G269" s="134">
        <f t="shared" si="14"/>
        <v>308.28012891833748</v>
      </c>
      <c r="H269" s="136">
        <f t="shared" si="11"/>
        <v>92792.318804419585</v>
      </c>
    </row>
    <row r="270" spans="1:8" x14ac:dyDescent="0.25">
      <c r="B270" s="119">
        <f t="shared" si="16"/>
        <v>20</v>
      </c>
      <c r="C270" s="124">
        <v>50496</v>
      </c>
      <c r="D270" s="133">
        <f>SUMIF('Payment Buildup'!A$4:A$34,"="&amp;'Payment Schedule'!A270,'Payment Buildup'!P$4:P$34)</f>
        <v>0</v>
      </c>
      <c r="E270" s="134">
        <f>SUMIF('Payment Buildup'!A$4:A$34,"="&amp;'Payment Schedule'!A270,'Payment Buildup'!Q$4:Q$34)</f>
        <v>0</v>
      </c>
      <c r="F270" s="134">
        <f t="shared" si="10"/>
        <v>0</v>
      </c>
      <c r="G270" s="134">
        <f t="shared" si="14"/>
        <v>309.30772934806532</v>
      </c>
      <c r="H270" s="136">
        <f t="shared" si="11"/>
        <v>93101.626533767645</v>
      </c>
    </row>
    <row r="271" spans="1:8" x14ac:dyDescent="0.25">
      <c r="B271" s="119">
        <f t="shared" si="16"/>
        <v>20</v>
      </c>
      <c r="C271" s="124">
        <v>50526</v>
      </c>
      <c r="D271" s="133">
        <f>SUMIF('Payment Buildup'!A$4:A$34,"="&amp;'Payment Schedule'!A271,'Payment Buildup'!P$4:P$34)</f>
        <v>0</v>
      </c>
      <c r="E271" s="134">
        <f>SUMIF('Payment Buildup'!A$4:A$34,"="&amp;'Payment Schedule'!A271,'Payment Buildup'!Q$4:Q$34)</f>
        <v>0</v>
      </c>
      <c r="F271" s="134">
        <f t="shared" si="10"/>
        <v>0</v>
      </c>
      <c r="G271" s="134">
        <f t="shared" si="14"/>
        <v>310.33875511255883</v>
      </c>
      <c r="H271" s="136">
        <f t="shared" si="11"/>
        <v>93411.965288880208</v>
      </c>
    </row>
    <row r="272" spans="1:8" x14ac:dyDescent="0.25">
      <c r="A272" s="119">
        <f t="shared" ref="A272:B277" si="17">A260+1</f>
        <v>20</v>
      </c>
      <c r="B272" s="119">
        <f t="shared" si="17"/>
        <v>20</v>
      </c>
      <c r="C272" s="124">
        <v>50557</v>
      </c>
      <c r="D272" s="133">
        <f>SUMIF('Payment Buildup'!A$4:A$34,"="&amp;'Payment Schedule'!A272,'Payment Buildup'!P$4:P$34)</f>
        <v>4623796.022569607</v>
      </c>
      <c r="E272" s="134">
        <f>SUMIF('Payment Buildup'!A$4:A$34,"="&amp;'Payment Schedule'!A272,'Payment Buildup'!Q$4:Q$34)</f>
        <v>1006497.1389598814</v>
      </c>
      <c r="F272" s="134">
        <f t="shared" si="10"/>
        <v>3617298.8836097256</v>
      </c>
      <c r="G272" s="134">
        <f t="shared" si="14"/>
        <v>311.37321762960073</v>
      </c>
      <c r="H272" s="136">
        <f t="shared" si="11"/>
        <v>-3523575.5451032156</v>
      </c>
    </row>
    <row r="273" spans="1:8" x14ac:dyDescent="0.25">
      <c r="B273" s="119">
        <f t="shared" si="17"/>
        <v>20</v>
      </c>
      <c r="C273" s="124">
        <v>50587</v>
      </c>
      <c r="D273" s="133">
        <f>SUMIF('Payment Buildup'!A$4:A$34,"="&amp;'Payment Schedule'!A273,'Payment Buildup'!P$4:P$34)</f>
        <v>0</v>
      </c>
      <c r="E273" s="134">
        <f>SUMIF('Payment Buildup'!A$4:A$34,"="&amp;'Payment Schedule'!A273,'Payment Buildup'!Q$4:Q$34)</f>
        <v>0</v>
      </c>
      <c r="F273" s="134">
        <f t="shared" si="10"/>
        <v>0</v>
      </c>
      <c r="G273" s="134">
        <f t="shared" si="14"/>
        <v>-11745.25181701072</v>
      </c>
      <c r="H273" s="136">
        <f t="shared" si="11"/>
        <v>-3535320.7969202264</v>
      </c>
    </row>
    <row r="274" spans="1:8" x14ac:dyDescent="0.25">
      <c r="B274" s="119">
        <f t="shared" si="17"/>
        <v>20</v>
      </c>
      <c r="C274" s="124">
        <v>50618</v>
      </c>
      <c r="D274" s="133">
        <f>SUMIF('Payment Buildup'!A$4:A$34,"="&amp;'Payment Schedule'!A274,'Payment Buildup'!P$4:P$34)</f>
        <v>0</v>
      </c>
      <c r="E274" s="134">
        <f>SUMIF('Payment Buildup'!A$4:A$34,"="&amp;'Payment Schedule'!A274,'Payment Buildup'!Q$4:Q$34)</f>
        <v>0</v>
      </c>
      <c r="F274" s="134">
        <f t="shared" si="10"/>
        <v>0</v>
      </c>
      <c r="G274" s="134">
        <f t="shared" si="14"/>
        <v>-11784.402656400756</v>
      </c>
      <c r="H274" s="136">
        <f t="shared" si="11"/>
        <v>-3547105.199576627</v>
      </c>
    </row>
    <row r="275" spans="1:8" x14ac:dyDescent="0.25">
      <c r="B275" s="119">
        <f t="shared" si="17"/>
        <v>20</v>
      </c>
      <c r="C275" s="124">
        <v>50649</v>
      </c>
      <c r="D275" s="133">
        <f>SUMIF('Payment Buildup'!A$4:A$34,"="&amp;'Payment Schedule'!A275,'Payment Buildup'!P$4:P$34)</f>
        <v>0</v>
      </c>
      <c r="E275" s="134">
        <f>SUMIF('Payment Buildup'!A$4:A$34,"="&amp;'Payment Schedule'!A275,'Payment Buildup'!Q$4:Q$34)</f>
        <v>0</v>
      </c>
      <c r="F275" s="134">
        <f t="shared" si="10"/>
        <v>0</v>
      </c>
      <c r="G275" s="134">
        <f t="shared" si="14"/>
        <v>-11823.683998588758</v>
      </c>
      <c r="H275" s="136">
        <f t="shared" si="11"/>
        <v>-3558928.8835752159</v>
      </c>
    </row>
    <row r="276" spans="1:8" x14ac:dyDescent="0.25">
      <c r="B276" s="119">
        <f t="shared" si="17"/>
        <v>20</v>
      </c>
      <c r="C276" s="124">
        <v>50679</v>
      </c>
      <c r="D276" s="133">
        <f>SUMIF('Payment Buildup'!A$4:A$34,"="&amp;'Payment Schedule'!A276,'Payment Buildup'!P$4:P$34)</f>
        <v>0</v>
      </c>
      <c r="E276" s="134">
        <f>SUMIF('Payment Buildup'!A$4:A$34,"="&amp;'Payment Schedule'!A276,'Payment Buildup'!Q$4:Q$34)</f>
        <v>0</v>
      </c>
      <c r="F276" s="134">
        <f t="shared" si="10"/>
        <v>0</v>
      </c>
      <c r="G276" s="134">
        <f t="shared" si="14"/>
        <v>-11863.096278584055</v>
      </c>
      <c r="H276" s="136">
        <f t="shared" si="11"/>
        <v>-3570791.9798538</v>
      </c>
    </row>
    <row r="277" spans="1:8" x14ac:dyDescent="0.25">
      <c r="B277" s="119">
        <f t="shared" si="17"/>
        <v>20</v>
      </c>
      <c r="C277" s="124">
        <v>50710</v>
      </c>
      <c r="D277" s="133">
        <f>SUMIF('Payment Buildup'!A$4:A$34,"="&amp;'Payment Schedule'!A277,'Payment Buildup'!P$4:P$34)</f>
        <v>0</v>
      </c>
      <c r="E277" s="134">
        <f>SUMIF('Payment Buildup'!A$4:A$34,"="&amp;'Payment Schedule'!A277,'Payment Buildup'!Q$4:Q$34)</f>
        <v>0</v>
      </c>
      <c r="F277" s="134">
        <f t="shared" si="10"/>
        <v>0</v>
      </c>
      <c r="G277" s="134">
        <f t="shared" si="14"/>
        <v>-11902.639932846001</v>
      </c>
      <c r="H277" s="136">
        <f t="shared" si="11"/>
        <v>-3582694.6197866462</v>
      </c>
    </row>
    <row r="278" spans="1:8" x14ac:dyDescent="0.25">
      <c r="B278" s="119">
        <f>B266+1</f>
        <v>20</v>
      </c>
      <c r="C278" s="124">
        <v>50740</v>
      </c>
      <c r="D278" s="133">
        <f>SUMIF('Payment Buildup'!A$4:A$34,"="&amp;'Payment Schedule'!A278,'Payment Buildup'!P$4:P$34)</f>
        <v>0</v>
      </c>
      <c r="E278" s="134">
        <f>SUMIF('Payment Buildup'!A$4:A$34,"="&amp;'Payment Schedule'!A278,'Payment Buildup'!Q$4:Q$34)</f>
        <v>0</v>
      </c>
      <c r="F278" s="134">
        <f t="shared" si="10"/>
        <v>0</v>
      </c>
      <c r="G278" s="134">
        <f t="shared" si="14"/>
        <v>-11942.315399288822</v>
      </c>
      <c r="H278" s="136">
        <f t="shared" si="11"/>
        <v>-3594636.9351859349</v>
      </c>
    </row>
    <row r="279" spans="1:8" x14ac:dyDescent="0.25">
      <c r="B279" s="119">
        <f t="shared" ref="B279" si="18">B267+1</f>
        <v>20</v>
      </c>
      <c r="C279" s="124">
        <v>50771</v>
      </c>
      <c r="D279" s="133">
        <f>SUMIF('Payment Buildup'!A$4:A$34,"="&amp;'Payment Schedule'!A279,'Payment Buildup'!P$4:P$34)</f>
        <v>0</v>
      </c>
      <c r="E279" s="134">
        <f>SUMIF('Payment Buildup'!A$4:A$34,"="&amp;'Payment Schedule'!A279,'Payment Buildup'!Q$4:Q$34)</f>
        <v>0</v>
      </c>
      <c r="F279" s="134">
        <f t="shared" si="10"/>
        <v>0</v>
      </c>
      <c r="G279" s="134">
        <f t="shared" si="14"/>
        <v>-11982.12311728645</v>
      </c>
      <c r="H279" s="136">
        <f t="shared" si="11"/>
        <v>-3606619.0583032211</v>
      </c>
    </row>
    <row r="280" spans="1:8" x14ac:dyDescent="0.25">
      <c r="B280" s="119">
        <f>B268+1</f>
        <v>21</v>
      </c>
      <c r="C280" s="124">
        <v>50802</v>
      </c>
      <c r="D280" s="133">
        <f>SUMIF('Payment Buildup'!A$4:A$34,"="&amp;'Payment Schedule'!A280,'Payment Buildup'!P$4:P$34)</f>
        <v>0</v>
      </c>
      <c r="E280" s="134">
        <f>SUMIF('Payment Buildup'!A$4:A$34,"="&amp;'Payment Schedule'!A280,'Payment Buildup'!Q$4:Q$34)</f>
        <v>0</v>
      </c>
      <c r="F280" s="134">
        <f t="shared" si="10"/>
        <v>0</v>
      </c>
      <c r="G280" s="134">
        <f t="shared" si="14"/>
        <v>-12022.063527677405</v>
      </c>
      <c r="H280" s="136">
        <f t="shared" si="11"/>
        <v>-3618641.1218308983</v>
      </c>
    </row>
    <row r="281" spans="1:8" x14ac:dyDescent="0.25">
      <c r="B281" s="119">
        <f t="shared" ref="B281:B283" si="19">B269+1</f>
        <v>21</v>
      </c>
      <c r="C281" s="124">
        <v>50830</v>
      </c>
      <c r="D281" s="133">
        <f>SUMIF('Payment Buildup'!A$4:A$34,"="&amp;'Payment Schedule'!A281,'Payment Buildup'!P$4:P$34)</f>
        <v>0</v>
      </c>
      <c r="E281" s="134">
        <f>SUMIF('Payment Buildup'!A$4:A$34,"="&amp;'Payment Schedule'!A281,'Payment Buildup'!Q$4:Q$34)</f>
        <v>0</v>
      </c>
      <c r="F281" s="134">
        <f t="shared" si="10"/>
        <v>0</v>
      </c>
      <c r="G281" s="134">
        <f t="shared" si="14"/>
        <v>-12062.137072769661</v>
      </c>
      <c r="H281" s="136">
        <f t="shared" si="11"/>
        <v>-3630703.2589036678</v>
      </c>
    </row>
    <row r="282" spans="1:8" x14ac:dyDescent="0.25">
      <c r="B282" s="119">
        <f t="shared" si="19"/>
        <v>21</v>
      </c>
      <c r="C282" s="124">
        <v>50861</v>
      </c>
      <c r="D282" s="133">
        <f>SUMIF('Payment Buildup'!A$4:A$34,"="&amp;'Payment Schedule'!A282,'Payment Buildup'!P$4:P$34)</f>
        <v>0</v>
      </c>
      <c r="E282" s="134">
        <f>SUMIF('Payment Buildup'!A$4:A$34,"="&amp;'Payment Schedule'!A282,'Payment Buildup'!Q$4:Q$34)</f>
        <v>0</v>
      </c>
      <c r="F282" s="134">
        <f t="shared" si="10"/>
        <v>0</v>
      </c>
      <c r="G282" s="134">
        <f t="shared" si="14"/>
        <v>-12102.344196345561</v>
      </c>
      <c r="H282" s="136">
        <f t="shared" si="11"/>
        <v>-3642805.6031000135</v>
      </c>
    </row>
    <row r="283" spans="1:8" x14ac:dyDescent="0.25">
      <c r="B283" s="119">
        <f t="shared" si="19"/>
        <v>21</v>
      </c>
      <c r="C283" s="124">
        <v>50891</v>
      </c>
      <c r="D283" s="133">
        <f>SUMIF('Payment Buildup'!A$4:A$34,"="&amp;'Payment Schedule'!A283,'Payment Buildup'!P$4:P$34)</f>
        <v>0</v>
      </c>
      <c r="E283" s="134">
        <f>SUMIF('Payment Buildup'!A$4:A$34,"="&amp;'Payment Schedule'!A283,'Payment Buildup'!Q$4:Q$34)</f>
        <v>0</v>
      </c>
      <c r="F283" s="134">
        <f t="shared" si="10"/>
        <v>0</v>
      </c>
      <c r="G283" s="134">
        <f t="shared" si="14"/>
        <v>-12142.685343666712</v>
      </c>
      <c r="H283" s="136">
        <f t="shared" si="11"/>
        <v>-3654948.2884436804</v>
      </c>
    </row>
    <row r="284" spans="1:8" x14ac:dyDescent="0.25">
      <c r="A284" s="119">
        <f t="shared" ref="A284:B289" si="20">A272+1</f>
        <v>21</v>
      </c>
      <c r="B284" s="119">
        <f t="shared" si="20"/>
        <v>21</v>
      </c>
      <c r="C284" s="124">
        <v>50922</v>
      </c>
      <c r="D284" s="133">
        <f>SUMIF('Payment Buildup'!A$4:A$34,"="&amp;'Payment Schedule'!A284,'Payment Buildup'!P$4:P$34)</f>
        <v>4762509.9032466961</v>
      </c>
      <c r="E284" s="134">
        <f>SUMIF('Payment Buildup'!A$4:A$34,"="&amp;'Payment Schedule'!A284,'Payment Buildup'!Q$4:Q$34)</f>
        <v>1036692.0531286778</v>
      </c>
      <c r="F284" s="134">
        <f t="shared" si="10"/>
        <v>3725817.8501180182</v>
      </c>
      <c r="G284" s="134">
        <f t="shared" si="14"/>
        <v>-12183.160961478936</v>
      </c>
      <c r="H284" s="136">
        <f t="shared" si="11"/>
        <v>-7392949.2995231776</v>
      </c>
    </row>
    <row r="285" spans="1:8" x14ac:dyDescent="0.25">
      <c r="B285" s="119">
        <f t="shared" si="20"/>
        <v>21</v>
      </c>
      <c r="C285" s="124">
        <v>50952</v>
      </c>
      <c r="D285" s="133">
        <f>SUMIF('Payment Buildup'!A$4:A$34,"="&amp;'Payment Schedule'!A285,'Payment Buildup'!P$4:P$34)</f>
        <v>0</v>
      </c>
      <c r="E285" s="134">
        <f>SUMIF('Payment Buildup'!A$4:A$34,"="&amp;'Payment Schedule'!A285,'Payment Buildup'!Q$4:Q$34)</f>
        <v>0</v>
      </c>
      <c r="F285" s="134">
        <f t="shared" si="10"/>
        <v>0</v>
      </c>
      <c r="G285" s="134">
        <f t="shared" si="14"/>
        <v>-24643.164331743927</v>
      </c>
      <c r="H285" s="136">
        <f t="shared" si="11"/>
        <v>-7417592.4638549211</v>
      </c>
    </row>
    <row r="286" spans="1:8" x14ac:dyDescent="0.25">
      <c r="B286" s="119">
        <f t="shared" si="20"/>
        <v>21</v>
      </c>
      <c r="C286" s="124">
        <v>50983</v>
      </c>
      <c r="D286" s="133">
        <f>SUMIF('Payment Buildup'!A$4:A$34,"="&amp;'Payment Schedule'!A286,'Payment Buildup'!P$4:P$34)</f>
        <v>0</v>
      </c>
      <c r="E286" s="134">
        <f>SUMIF('Payment Buildup'!A$4:A$34,"="&amp;'Payment Schedule'!A286,'Payment Buildup'!Q$4:Q$34)</f>
        <v>0</v>
      </c>
      <c r="F286" s="134">
        <f t="shared" si="10"/>
        <v>0</v>
      </c>
      <c r="G286" s="134">
        <f t="shared" si="14"/>
        <v>-24725.308212849737</v>
      </c>
      <c r="H286" s="136">
        <f t="shared" si="11"/>
        <v>-7442317.7720677704</v>
      </c>
    </row>
    <row r="287" spans="1:8" x14ac:dyDescent="0.25">
      <c r="B287" s="119">
        <f t="shared" si="20"/>
        <v>21</v>
      </c>
      <c r="C287" s="124">
        <v>51014</v>
      </c>
      <c r="D287" s="133">
        <f>SUMIF('Payment Buildup'!A$4:A$34,"="&amp;'Payment Schedule'!A287,'Payment Buildup'!P$4:P$34)</f>
        <v>0</v>
      </c>
      <c r="E287" s="134">
        <f>SUMIF('Payment Buildup'!A$4:A$34,"="&amp;'Payment Schedule'!A287,'Payment Buildup'!Q$4:Q$34)</f>
        <v>0</v>
      </c>
      <c r="F287" s="134">
        <f t="shared" si="10"/>
        <v>0</v>
      </c>
      <c r="G287" s="134">
        <f t="shared" si="14"/>
        <v>-24807.72590689257</v>
      </c>
      <c r="H287" s="136">
        <f t="shared" si="11"/>
        <v>-7467125.497974663</v>
      </c>
    </row>
    <row r="288" spans="1:8" x14ac:dyDescent="0.25">
      <c r="B288" s="119">
        <f t="shared" si="20"/>
        <v>21</v>
      </c>
      <c r="C288" s="124">
        <v>51044</v>
      </c>
      <c r="D288" s="133">
        <f>SUMIF('Payment Buildup'!A$4:A$34,"="&amp;'Payment Schedule'!A288,'Payment Buildup'!P$4:P$34)</f>
        <v>0</v>
      </c>
      <c r="E288" s="134">
        <f>SUMIF('Payment Buildup'!A$4:A$34,"="&amp;'Payment Schedule'!A288,'Payment Buildup'!Q$4:Q$34)</f>
        <v>0</v>
      </c>
      <c r="F288" s="134">
        <f t="shared" si="10"/>
        <v>0</v>
      </c>
      <c r="G288" s="134">
        <f t="shared" si="14"/>
        <v>-24890.41832658221</v>
      </c>
      <c r="H288" s="136">
        <f t="shared" si="11"/>
        <v>-7492015.9163012449</v>
      </c>
    </row>
    <row r="289" spans="1:8" x14ac:dyDescent="0.25">
      <c r="B289" s="119">
        <f t="shared" si="20"/>
        <v>21</v>
      </c>
      <c r="C289" s="124">
        <v>51075</v>
      </c>
      <c r="D289" s="133">
        <f>SUMIF('Payment Buildup'!A$4:A$34,"="&amp;'Payment Schedule'!A289,'Payment Buildup'!P$4:P$34)</f>
        <v>0</v>
      </c>
      <c r="E289" s="134">
        <f>SUMIF('Payment Buildup'!A$4:A$34,"="&amp;'Payment Schedule'!A289,'Payment Buildup'!Q$4:Q$34)</f>
        <v>0</v>
      </c>
      <c r="F289" s="134">
        <f t="shared" si="10"/>
        <v>0</v>
      </c>
      <c r="G289" s="134">
        <f t="shared" si="14"/>
        <v>-24973.386387670816</v>
      </c>
      <c r="H289" s="136">
        <f t="shared" si="11"/>
        <v>-7516989.3026889153</v>
      </c>
    </row>
    <row r="290" spans="1:8" x14ac:dyDescent="0.25">
      <c r="B290" s="119">
        <f>B278+1</f>
        <v>21</v>
      </c>
      <c r="C290" s="124">
        <v>51105</v>
      </c>
      <c r="D290" s="133">
        <f>SUMIF('Payment Buildup'!A$4:A$34,"="&amp;'Payment Schedule'!A290,'Payment Buildup'!P$4:P$34)</f>
        <v>0</v>
      </c>
      <c r="E290" s="134">
        <f>SUMIF('Payment Buildup'!A$4:A$34,"="&amp;'Payment Schedule'!A290,'Payment Buildup'!Q$4:Q$34)</f>
        <v>0</v>
      </c>
      <c r="F290" s="134">
        <f t="shared" si="10"/>
        <v>0</v>
      </c>
      <c r="G290" s="134">
        <f t="shared" si="14"/>
        <v>-25056.631008963053</v>
      </c>
      <c r="H290" s="136">
        <f t="shared" si="11"/>
        <v>-7542045.9336978784</v>
      </c>
    </row>
    <row r="291" spans="1:8" x14ac:dyDescent="0.25">
      <c r="B291" s="119">
        <f t="shared" ref="B291" si="21">B279+1</f>
        <v>21</v>
      </c>
      <c r="C291" s="124">
        <v>51136</v>
      </c>
      <c r="D291" s="133">
        <f>SUMIF('Payment Buildup'!A$4:A$34,"="&amp;'Payment Schedule'!A291,'Payment Buildup'!P$4:P$34)</f>
        <v>0</v>
      </c>
      <c r="E291" s="134">
        <f>SUMIF('Payment Buildup'!A$4:A$34,"="&amp;'Payment Schedule'!A291,'Payment Buildup'!Q$4:Q$34)</f>
        <v>0</v>
      </c>
      <c r="F291" s="134">
        <f t="shared" si="10"/>
        <v>0</v>
      </c>
      <c r="G291" s="134">
        <f t="shared" si="14"/>
        <v>-25140.153112326261</v>
      </c>
      <c r="H291" s="136">
        <f t="shared" si="11"/>
        <v>-7567186.0868102042</v>
      </c>
    </row>
    <row r="292" spans="1:8" x14ac:dyDescent="0.25">
      <c r="B292" s="119">
        <f>B280+1</f>
        <v>22</v>
      </c>
      <c r="C292" s="124">
        <v>51167</v>
      </c>
      <c r="D292" s="133">
        <f>SUMIF('Payment Buildup'!A$4:A$34,"="&amp;'Payment Schedule'!A292,'Payment Buildup'!P$4:P$34)</f>
        <v>0</v>
      </c>
      <c r="E292" s="134">
        <f>SUMIF('Payment Buildup'!A$4:A$34,"="&amp;'Payment Schedule'!A292,'Payment Buildup'!Q$4:Q$34)</f>
        <v>0</v>
      </c>
      <c r="F292" s="134">
        <f t="shared" si="10"/>
        <v>0</v>
      </c>
      <c r="G292" s="134">
        <f t="shared" si="14"/>
        <v>-25223.953622700683</v>
      </c>
      <c r="H292" s="136">
        <f t="shared" si="11"/>
        <v>-7592410.0404329048</v>
      </c>
    </row>
    <row r="293" spans="1:8" x14ac:dyDescent="0.25">
      <c r="B293" s="119">
        <f t="shared" ref="B293:B295" si="22">B281+1</f>
        <v>22</v>
      </c>
      <c r="C293" s="124">
        <v>51196</v>
      </c>
      <c r="D293" s="133">
        <f>SUMIF('Payment Buildup'!A$4:A$34,"="&amp;'Payment Schedule'!A293,'Payment Buildup'!P$4:P$34)</f>
        <v>0</v>
      </c>
      <c r="E293" s="134">
        <f>SUMIF('Payment Buildup'!A$4:A$34,"="&amp;'Payment Schedule'!A293,'Payment Buildup'!Q$4:Q$34)</f>
        <v>0</v>
      </c>
      <c r="F293" s="134">
        <f t="shared" si="10"/>
        <v>0</v>
      </c>
      <c r="G293" s="134">
        <f t="shared" si="14"/>
        <v>-25308.033468109683</v>
      </c>
      <c r="H293" s="136">
        <f t="shared" si="11"/>
        <v>-7617718.0739010144</v>
      </c>
    </row>
    <row r="294" spans="1:8" x14ac:dyDescent="0.25">
      <c r="B294" s="119">
        <f t="shared" si="22"/>
        <v>22</v>
      </c>
      <c r="C294" s="124">
        <v>51227</v>
      </c>
      <c r="D294" s="133">
        <f>SUMIF('Payment Buildup'!A$4:A$34,"="&amp;'Payment Schedule'!A294,'Payment Buildup'!P$4:P$34)</f>
        <v>0</v>
      </c>
      <c r="E294" s="134">
        <f>SUMIF('Payment Buildup'!A$4:A$34,"="&amp;'Payment Schedule'!A294,'Payment Buildup'!Q$4:Q$34)</f>
        <v>0</v>
      </c>
      <c r="F294" s="134">
        <f t="shared" si="10"/>
        <v>0</v>
      </c>
      <c r="G294" s="134">
        <f t="shared" si="14"/>
        <v>-25392.39357967005</v>
      </c>
      <c r="H294" s="136">
        <f t="shared" si="11"/>
        <v>-7643110.4674806846</v>
      </c>
    </row>
    <row r="295" spans="1:8" x14ac:dyDescent="0.25">
      <c r="B295" s="119">
        <f t="shared" si="22"/>
        <v>22</v>
      </c>
      <c r="C295" s="124">
        <v>51257</v>
      </c>
      <c r="D295" s="133">
        <f>SUMIF('Payment Buildup'!A$4:A$34,"="&amp;'Payment Schedule'!A295,'Payment Buildup'!P$4:P$34)</f>
        <v>0</v>
      </c>
      <c r="E295" s="134">
        <f>SUMIF('Payment Buildup'!A$4:A$34,"="&amp;'Payment Schedule'!A295,'Payment Buildup'!Q$4:Q$34)</f>
        <v>0</v>
      </c>
      <c r="F295" s="134">
        <f t="shared" si="10"/>
        <v>0</v>
      </c>
      <c r="G295" s="134">
        <f t="shared" si="14"/>
        <v>-25477.034891602285</v>
      </c>
      <c r="H295" s="136">
        <f t="shared" si="11"/>
        <v>-7668587.5023722872</v>
      </c>
    </row>
    <row r="296" spans="1:8" x14ac:dyDescent="0.25">
      <c r="A296" s="119">
        <f t="shared" ref="A296:B301" si="23">A284+1</f>
        <v>22</v>
      </c>
      <c r="B296" s="119">
        <f t="shared" si="23"/>
        <v>22</v>
      </c>
      <c r="C296" s="124">
        <v>51288</v>
      </c>
      <c r="D296" s="133">
        <f>SUMIF('Payment Buildup'!A$4:A$34,"="&amp;'Payment Schedule'!A296,'Payment Buildup'!P$4:P$34)</f>
        <v>4905385.2003440959</v>
      </c>
      <c r="E296" s="134">
        <f>SUMIF('Payment Buildup'!A$4:A$34,"="&amp;'Payment Schedule'!A296,'Payment Buildup'!Q$4:Q$34)</f>
        <v>1067792.8147225382</v>
      </c>
      <c r="F296" s="134">
        <f t="shared" ref="F296:F359" si="24">D296-E296</f>
        <v>3837592.3856215579</v>
      </c>
      <c r="G296" s="134">
        <f t="shared" si="14"/>
        <v>-25561.958341240959</v>
      </c>
      <c r="H296" s="136">
        <f t="shared" ref="H296:H359" si="25">H295+G296-F296</f>
        <v>-11531741.846335087</v>
      </c>
    </row>
    <row r="297" spans="1:8" x14ac:dyDescent="0.25">
      <c r="B297" s="119">
        <f t="shared" si="23"/>
        <v>22</v>
      </c>
      <c r="C297" s="124">
        <v>51318</v>
      </c>
      <c r="D297" s="133">
        <f>SUMIF('Payment Buildup'!A$4:A$34,"="&amp;'Payment Schedule'!A297,'Payment Buildup'!P$4:P$34)</f>
        <v>0</v>
      </c>
      <c r="E297" s="134">
        <f>SUMIF('Payment Buildup'!A$4:A$34,"="&amp;'Payment Schedule'!A297,'Payment Buildup'!Q$4:Q$34)</f>
        <v>0</v>
      </c>
      <c r="F297" s="134">
        <f t="shared" si="24"/>
        <v>0</v>
      </c>
      <c r="G297" s="134">
        <f t="shared" si="14"/>
        <v>-38439.139487783628</v>
      </c>
      <c r="H297" s="136">
        <f t="shared" si="25"/>
        <v>-11570180.985822871</v>
      </c>
    </row>
    <row r="298" spans="1:8" x14ac:dyDescent="0.25">
      <c r="B298" s="119">
        <f t="shared" si="23"/>
        <v>22</v>
      </c>
      <c r="C298" s="124">
        <v>51349</v>
      </c>
      <c r="D298" s="133">
        <f>SUMIF('Payment Buildup'!A$4:A$34,"="&amp;'Payment Schedule'!A298,'Payment Buildup'!P$4:P$34)</f>
        <v>0</v>
      </c>
      <c r="E298" s="134">
        <f>SUMIF('Payment Buildup'!A$4:A$34,"="&amp;'Payment Schedule'!A298,'Payment Buildup'!Q$4:Q$34)</f>
        <v>0</v>
      </c>
      <c r="F298" s="134">
        <f t="shared" si="24"/>
        <v>0</v>
      </c>
      <c r="G298" s="134">
        <f t="shared" si="14"/>
        <v>-38567.269952742907</v>
      </c>
      <c r="H298" s="136">
        <f t="shared" si="25"/>
        <v>-11608748.255775614</v>
      </c>
    </row>
    <row r="299" spans="1:8" x14ac:dyDescent="0.25">
      <c r="B299" s="119">
        <f t="shared" si="23"/>
        <v>22</v>
      </c>
      <c r="C299" s="124">
        <v>51380</v>
      </c>
      <c r="D299" s="133">
        <f>SUMIF('Payment Buildup'!A$4:A$34,"="&amp;'Payment Schedule'!A299,'Payment Buildup'!P$4:P$34)</f>
        <v>0</v>
      </c>
      <c r="E299" s="134">
        <f>SUMIF('Payment Buildup'!A$4:A$34,"="&amp;'Payment Schedule'!A299,'Payment Buildup'!Q$4:Q$34)</f>
        <v>0</v>
      </c>
      <c r="F299" s="134">
        <f t="shared" si="24"/>
        <v>0</v>
      </c>
      <c r="G299" s="134">
        <f t="shared" si="14"/>
        <v>-38695.827519252045</v>
      </c>
      <c r="H299" s="136">
        <f t="shared" si="25"/>
        <v>-11647444.083294867</v>
      </c>
    </row>
    <row r="300" spans="1:8" x14ac:dyDescent="0.25">
      <c r="B300" s="119">
        <f t="shared" si="23"/>
        <v>22</v>
      </c>
      <c r="C300" s="124">
        <v>51410</v>
      </c>
      <c r="D300" s="133">
        <f>SUMIF('Payment Buildup'!A$4:A$34,"="&amp;'Payment Schedule'!A300,'Payment Buildup'!P$4:P$34)</f>
        <v>0</v>
      </c>
      <c r="E300" s="134">
        <f>SUMIF('Payment Buildup'!A$4:A$34,"="&amp;'Payment Schedule'!A300,'Payment Buildup'!Q$4:Q$34)</f>
        <v>0</v>
      </c>
      <c r="F300" s="134">
        <f t="shared" si="24"/>
        <v>0</v>
      </c>
      <c r="G300" s="134">
        <f t="shared" si="14"/>
        <v>-38824.813610982892</v>
      </c>
      <c r="H300" s="136">
        <f t="shared" si="25"/>
        <v>-11686268.896905849</v>
      </c>
    </row>
    <row r="301" spans="1:8" x14ac:dyDescent="0.25">
      <c r="B301" s="119">
        <f t="shared" si="23"/>
        <v>22</v>
      </c>
      <c r="C301" s="124">
        <v>51441</v>
      </c>
      <c r="D301" s="133">
        <f>SUMIF('Payment Buildup'!A$4:A$34,"="&amp;'Payment Schedule'!A301,'Payment Buildup'!P$4:P$34)</f>
        <v>0</v>
      </c>
      <c r="E301" s="134">
        <f>SUMIF('Payment Buildup'!A$4:A$34,"="&amp;'Payment Schedule'!A301,'Payment Buildup'!Q$4:Q$34)</f>
        <v>0</v>
      </c>
      <c r="F301" s="134">
        <f t="shared" si="24"/>
        <v>0</v>
      </c>
      <c r="G301" s="134">
        <f t="shared" si="14"/>
        <v>-38954.229656352829</v>
      </c>
      <c r="H301" s="136">
        <f t="shared" si="25"/>
        <v>-11725223.126562202</v>
      </c>
    </row>
    <row r="302" spans="1:8" x14ac:dyDescent="0.25">
      <c r="B302" s="119">
        <f>B290+1</f>
        <v>22</v>
      </c>
      <c r="C302" s="124">
        <v>51471</v>
      </c>
      <c r="D302" s="133">
        <f>SUMIF('Payment Buildup'!A$4:A$34,"="&amp;'Payment Schedule'!A302,'Payment Buildup'!P$4:P$34)</f>
        <v>0</v>
      </c>
      <c r="E302" s="134">
        <f>SUMIF('Payment Buildup'!A$4:A$34,"="&amp;'Payment Schedule'!A302,'Payment Buildup'!Q$4:Q$34)</f>
        <v>0</v>
      </c>
      <c r="F302" s="134">
        <f t="shared" si="24"/>
        <v>0</v>
      </c>
      <c r="G302" s="134">
        <f t="shared" si="14"/>
        <v>-39084.077088540675</v>
      </c>
      <c r="H302" s="136">
        <f t="shared" si="25"/>
        <v>-11764307.203650743</v>
      </c>
    </row>
    <row r="303" spans="1:8" x14ac:dyDescent="0.25">
      <c r="B303" s="119">
        <f t="shared" ref="B303" si="26">B291+1</f>
        <v>22</v>
      </c>
      <c r="C303" s="124">
        <v>51502</v>
      </c>
      <c r="D303" s="133">
        <f>SUMIF('Payment Buildup'!A$4:A$34,"="&amp;'Payment Schedule'!A303,'Payment Buildup'!P$4:P$34)</f>
        <v>0</v>
      </c>
      <c r="E303" s="134">
        <f>SUMIF('Payment Buildup'!A$4:A$34,"="&amp;'Payment Schedule'!A303,'Payment Buildup'!Q$4:Q$34)</f>
        <v>0</v>
      </c>
      <c r="F303" s="134">
        <f t="shared" si="24"/>
        <v>0</v>
      </c>
      <c r="G303" s="134">
        <f t="shared" si="14"/>
        <v>-39214.357345502482</v>
      </c>
      <c r="H303" s="136">
        <f t="shared" si="25"/>
        <v>-11803521.560996246</v>
      </c>
    </row>
    <row r="304" spans="1:8" x14ac:dyDescent="0.25">
      <c r="B304" s="119">
        <f>B292+1</f>
        <v>23</v>
      </c>
      <c r="C304" s="124">
        <v>51533</v>
      </c>
      <c r="D304" s="133">
        <f>SUMIF('Payment Buildup'!A$4:A$34,"="&amp;'Payment Schedule'!A304,'Payment Buildup'!P$4:P$34)</f>
        <v>0</v>
      </c>
      <c r="E304" s="134">
        <f>SUMIF('Payment Buildup'!A$4:A$34,"="&amp;'Payment Schedule'!A304,'Payment Buildup'!Q$4:Q$34)</f>
        <v>0</v>
      </c>
      <c r="F304" s="134">
        <f t="shared" si="24"/>
        <v>0</v>
      </c>
      <c r="G304" s="134">
        <f t="shared" si="14"/>
        <v>-39345.071869987485</v>
      </c>
      <c r="H304" s="136">
        <f t="shared" si="25"/>
        <v>-11842866.632866234</v>
      </c>
    </row>
    <row r="305" spans="1:8" x14ac:dyDescent="0.25">
      <c r="B305" s="119">
        <f t="shared" ref="B305:B307" si="27">B293+1</f>
        <v>23</v>
      </c>
      <c r="C305" s="124">
        <v>51561</v>
      </c>
      <c r="D305" s="133">
        <f>SUMIF('Payment Buildup'!A$4:A$34,"="&amp;'Payment Schedule'!A305,'Payment Buildup'!P$4:P$34)</f>
        <v>0</v>
      </c>
      <c r="E305" s="134">
        <f>SUMIF('Payment Buildup'!A$4:A$34,"="&amp;'Payment Schedule'!A305,'Payment Buildup'!Q$4:Q$34)</f>
        <v>0</v>
      </c>
      <c r="F305" s="134">
        <f t="shared" si="24"/>
        <v>0</v>
      </c>
      <c r="G305" s="134">
        <f t="shared" si="14"/>
        <v>-39476.222109554117</v>
      </c>
      <c r="H305" s="136">
        <f t="shared" si="25"/>
        <v>-11882342.854975788</v>
      </c>
    </row>
    <row r="306" spans="1:8" x14ac:dyDescent="0.25">
      <c r="B306" s="119">
        <f t="shared" si="27"/>
        <v>23</v>
      </c>
      <c r="C306" s="124">
        <v>51592</v>
      </c>
      <c r="D306" s="133">
        <f>SUMIF('Payment Buildup'!A$4:A$34,"="&amp;'Payment Schedule'!A306,'Payment Buildup'!P$4:P$34)</f>
        <v>0</v>
      </c>
      <c r="E306" s="134">
        <f>SUMIF('Payment Buildup'!A$4:A$34,"="&amp;'Payment Schedule'!A306,'Payment Buildup'!Q$4:Q$34)</f>
        <v>0</v>
      </c>
      <c r="F306" s="134">
        <f t="shared" si="24"/>
        <v>0</v>
      </c>
      <c r="G306" s="134">
        <f t="shared" si="14"/>
        <v>-39607.809516585963</v>
      </c>
      <c r="H306" s="136">
        <f t="shared" si="25"/>
        <v>-11921950.664492374</v>
      </c>
    </row>
    <row r="307" spans="1:8" x14ac:dyDescent="0.25">
      <c r="B307" s="119">
        <f t="shared" si="27"/>
        <v>23</v>
      </c>
      <c r="C307" s="124">
        <v>51622</v>
      </c>
      <c r="D307" s="133">
        <f>SUMIF('Payment Buildup'!A$4:A$34,"="&amp;'Payment Schedule'!A307,'Payment Buildup'!P$4:P$34)</f>
        <v>0</v>
      </c>
      <c r="E307" s="134">
        <f>SUMIF('Payment Buildup'!A$4:A$34,"="&amp;'Payment Schedule'!A307,'Payment Buildup'!Q$4:Q$34)</f>
        <v>0</v>
      </c>
      <c r="F307" s="134">
        <f t="shared" si="24"/>
        <v>0</v>
      </c>
      <c r="G307" s="134">
        <f t="shared" si="14"/>
        <v>-39739.835548307914</v>
      </c>
      <c r="H307" s="136">
        <f t="shared" si="25"/>
        <v>-11961690.500040682</v>
      </c>
    </row>
    <row r="308" spans="1:8" x14ac:dyDescent="0.25">
      <c r="A308" s="119">
        <f t="shared" ref="A308:B313" si="28">A296+1</f>
        <v>23</v>
      </c>
      <c r="B308" s="119">
        <f t="shared" si="28"/>
        <v>23</v>
      </c>
      <c r="C308" s="124">
        <v>51653</v>
      </c>
      <c r="D308" s="133">
        <f>SUMIF('Payment Buildup'!A$4:A$34,"="&amp;'Payment Schedule'!A308,'Payment Buildup'!P$4:P$34)</f>
        <v>5052546.7563544186</v>
      </c>
      <c r="E308" s="134">
        <f>SUMIF('Payment Buildup'!A$4:A$34,"="&amp;'Payment Schedule'!A308,'Payment Buildup'!Q$4:Q$34)</f>
        <v>1099826.5991642142</v>
      </c>
      <c r="F308" s="134">
        <f t="shared" si="24"/>
        <v>3952720.1571902046</v>
      </c>
      <c r="G308" s="134">
        <f t="shared" si="14"/>
        <v>-39872.301666802276</v>
      </c>
      <c r="H308" s="136">
        <f t="shared" si="25"/>
        <v>-15954282.958897687</v>
      </c>
    </row>
    <row r="309" spans="1:8" x14ac:dyDescent="0.25">
      <c r="B309" s="119">
        <f t="shared" si="28"/>
        <v>23</v>
      </c>
      <c r="C309" s="124">
        <v>51683</v>
      </c>
      <c r="D309" s="133">
        <f>SUMIF('Payment Buildup'!A$4:A$34,"="&amp;'Payment Schedule'!A309,'Payment Buildup'!P$4:P$34)</f>
        <v>0</v>
      </c>
      <c r="E309" s="134">
        <f>SUMIF('Payment Buildup'!A$4:A$34,"="&amp;'Payment Schedule'!A309,'Payment Buildup'!Q$4:Q$34)</f>
        <v>0</v>
      </c>
      <c r="F309" s="134">
        <f t="shared" si="24"/>
        <v>0</v>
      </c>
      <c r="G309" s="134">
        <f t="shared" si="14"/>
        <v>-53180.943196325628</v>
      </c>
      <c r="H309" s="136">
        <f t="shared" si="25"/>
        <v>-16007463.902094014</v>
      </c>
    </row>
    <row r="310" spans="1:8" x14ac:dyDescent="0.25">
      <c r="B310" s="119">
        <f t="shared" si="28"/>
        <v>23</v>
      </c>
      <c r="C310" s="124">
        <v>51714</v>
      </c>
      <c r="D310" s="133">
        <f>SUMIF('Payment Buildup'!A$4:A$34,"="&amp;'Payment Schedule'!A310,'Payment Buildup'!P$4:P$34)</f>
        <v>0</v>
      </c>
      <c r="E310" s="134">
        <f>SUMIF('Payment Buildup'!A$4:A$34,"="&amp;'Payment Schedule'!A310,'Payment Buildup'!Q$4:Q$34)</f>
        <v>0</v>
      </c>
      <c r="F310" s="134">
        <f t="shared" si="24"/>
        <v>0</v>
      </c>
      <c r="G310" s="134">
        <f t="shared" si="14"/>
        <v>-53358.213006980048</v>
      </c>
      <c r="H310" s="136">
        <f t="shared" si="25"/>
        <v>-16060822.115100995</v>
      </c>
    </row>
    <row r="311" spans="1:8" x14ac:dyDescent="0.25">
      <c r="B311" s="119">
        <f t="shared" si="28"/>
        <v>23</v>
      </c>
      <c r="C311" s="124">
        <v>51745</v>
      </c>
      <c r="D311" s="133">
        <f>SUMIF('Payment Buildup'!A$4:A$34,"="&amp;'Payment Schedule'!A311,'Payment Buildup'!P$4:P$34)</f>
        <v>0</v>
      </c>
      <c r="E311" s="134">
        <f>SUMIF('Payment Buildup'!A$4:A$34,"="&amp;'Payment Schedule'!A311,'Payment Buildup'!Q$4:Q$34)</f>
        <v>0</v>
      </c>
      <c r="F311" s="134">
        <f t="shared" si="24"/>
        <v>0</v>
      </c>
      <c r="G311" s="134">
        <f t="shared" si="14"/>
        <v>-53536.073717003317</v>
      </c>
      <c r="H311" s="136">
        <f t="shared" si="25"/>
        <v>-16114358.188817998</v>
      </c>
    </row>
    <row r="312" spans="1:8" x14ac:dyDescent="0.25">
      <c r="B312" s="119">
        <f t="shared" si="28"/>
        <v>23</v>
      </c>
      <c r="C312" s="124">
        <v>51775</v>
      </c>
      <c r="D312" s="133">
        <f>SUMIF('Payment Buildup'!A$4:A$34,"="&amp;'Payment Schedule'!A312,'Payment Buildup'!P$4:P$34)</f>
        <v>0</v>
      </c>
      <c r="E312" s="134">
        <f>SUMIF('Payment Buildup'!A$4:A$34,"="&amp;'Payment Schedule'!A312,'Payment Buildup'!Q$4:Q$34)</f>
        <v>0</v>
      </c>
      <c r="F312" s="134">
        <f t="shared" si="24"/>
        <v>0</v>
      </c>
      <c r="G312" s="134">
        <f t="shared" si="14"/>
        <v>-53714.527296059998</v>
      </c>
      <c r="H312" s="136">
        <f t="shared" si="25"/>
        <v>-16168072.716114059</v>
      </c>
    </row>
    <row r="313" spans="1:8" x14ac:dyDescent="0.25">
      <c r="B313" s="119">
        <f t="shared" si="28"/>
        <v>23</v>
      </c>
      <c r="C313" s="124">
        <v>51806</v>
      </c>
      <c r="D313" s="133">
        <f>SUMIF('Payment Buildup'!A$4:A$34,"="&amp;'Payment Schedule'!A313,'Payment Buildup'!P$4:P$34)</f>
        <v>0</v>
      </c>
      <c r="E313" s="134">
        <f>SUMIF('Payment Buildup'!A$4:A$34,"="&amp;'Payment Schedule'!A313,'Payment Buildup'!Q$4:Q$34)</f>
        <v>0</v>
      </c>
      <c r="F313" s="134">
        <f t="shared" si="24"/>
        <v>0</v>
      </c>
      <c r="G313" s="134">
        <f t="shared" si="14"/>
        <v>-53893.575720380199</v>
      </c>
      <c r="H313" s="136">
        <f t="shared" si="25"/>
        <v>-16221966.29183444</v>
      </c>
    </row>
    <row r="314" spans="1:8" x14ac:dyDescent="0.25">
      <c r="B314" s="119">
        <f>B302+1</f>
        <v>23</v>
      </c>
      <c r="C314" s="124">
        <v>51836</v>
      </c>
      <c r="D314" s="133">
        <f>SUMIF('Payment Buildup'!A$4:A$34,"="&amp;'Payment Schedule'!A314,'Payment Buildup'!P$4:P$34)</f>
        <v>0</v>
      </c>
      <c r="E314" s="134">
        <f>SUMIF('Payment Buildup'!A$4:A$34,"="&amp;'Payment Schedule'!A314,'Payment Buildup'!Q$4:Q$34)</f>
        <v>0</v>
      </c>
      <c r="F314" s="134">
        <f t="shared" si="24"/>
        <v>0</v>
      </c>
      <c r="G314" s="134">
        <f t="shared" si="14"/>
        <v>-54073.22097278147</v>
      </c>
      <c r="H314" s="136">
        <f t="shared" si="25"/>
        <v>-16276039.512807222</v>
      </c>
    </row>
    <row r="315" spans="1:8" x14ac:dyDescent="0.25">
      <c r="B315" s="119">
        <f t="shared" ref="B315" si="29">B303+1</f>
        <v>23</v>
      </c>
      <c r="C315" s="124">
        <v>51867</v>
      </c>
      <c r="D315" s="133">
        <f>SUMIF('Payment Buildup'!A$4:A$34,"="&amp;'Payment Schedule'!A315,'Payment Buildup'!P$4:P$34)</f>
        <v>0</v>
      </c>
      <c r="E315" s="134">
        <f>SUMIF('Payment Buildup'!A$4:A$34,"="&amp;'Payment Schedule'!A315,'Payment Buildup'!Q$4:Q$34)</f>
        <v>0</v>
      </c>
      <c r="F315" s="134">
        <f t="shared" si="24"/>
        <v>0</v>
      </c>
      <c r="G315" s="134">
        <f t="shared" si="14"/>
        <v>-54253.465042690746</v>
      </c>
      <c r="H315" s="136">
        <f t="shared" si="25"/>
        <v>-16330292.977849912</v>
      </c>
    </row>
    <row r="316" spans="1:8" x14ac:dyDescent="0.25">
      <c r="B316" s="119">
        <f>B304+1</f>
        <v>24</v>
      </c>
      <c r="C316" s="124">
        <v>51898</v>
      </c>
      <c r="D316" s="133">
        <f>SUMIF('Payment Buildup'!A$4:A$34,"="&amp;'Payment Schedule'!A316,'Payment Buildup'!P$4:P$34)</f>
        <v>0</v>
      </c>
      <c r="E316" s="134">
        <f>SUMIF('Payment Buildup'!A$4:A$34,"="&amp;'Payment Schedule'!A316,'Payment Buildup'!Q$4:Q$34)</f>
        <v>0</v>
      </c>
      <c r="F316" s="134">
        <f t="shared" si="24"/>
        <v>0</v>
      </c>
      <c r="G316" s="134">
        <f t="shared" si="14"/>
        <v>-54434.309926166374</v>
      </c>
      <c r="H316" s="136">
        <f t="shared" si="25"/>
        <v>-16384727.287776079</v>
      </c>
    </row>
    <row r="317" spans="1:8" x14ac:dyDescent="0.25">
      <c r="B317" s="119">
        <f t="shared" ref="B317:B319" si="30">B305+1</f>
        <v>24</v>
      </c>
      <c r="C317" s="124">
        <v>51926</v>
      </c>
      <c r="D317" s="133">
        <f>SUMIF('Payment Buildup'!A$4:A$34,"="&amp;'Payment Schedule'!A317,'Payment Buildup'!P$4:P$34)</f>
        <v>0</v>
      </c>
      <c r="E317" s="134">
        <f>SUMIF('Payment Buildup'!A$4:A$34,"="&amp;'Payment Schedule'!A317,'Payment Buildup'!Q$4:Q$34)</f>
        <v>0</v>
      </c>
      <c r="F317" s="134">
        <f t="shared" si="24"/>
        <v>0</v>
      </c>
      <c r="G317" s="134">
        <f t="shared" si="14"/>
        <v>-54615.757625920269</v>
      </c>
      <c r="H317" s="136">
        <f t="shared" si="25"/>
        <v>-16439343.045402</v>
      </c>
    </row>
    <row r="318" spans="1:8" x14ac:dyDescent="0.25">
      <c r="B318" s="119">
        <f t="shared" si="30"/>
        <v>24</v>
      </c>
      <c r="C318" s="124">
        <v>51957</v>
      </c>
      <c r="D318" s="133">
        <f>SUMIF('Payment Buildup'!A$4:A$34,"="&amp;'Payment Schedule'!A318,'Payment Buildup'!P$4:P$34)</f>
        <v>0</v>
      </c>
      <c r="E318" s="134">
        <f>SUMIF('Payment Buildup'!A$4:A$34,"="&amp;'Payment Schedule'!A318,'Payment Buildup'!Q$4:Q$34)</f>
        <v>0</v>
      </c>
      <c r="F318" s="134">
        <f t="shared" si="24"/>
        <v>0</v>
      </c>
      <c r="G318" s="134">
        <f t="shared" si="14"/>
        <v>-54797.810151340003</v>
      </c>
      <c r="H318" s="136">
        <f t="shared" si="25"/>
        <v>-16494140.85555334</v>
      </c>
    </row>
    <row r="319" spans="1:8" x14ac:dyDescent="0.25">
      <c r="B319" s="119">
        <f t="shared" si="30"/>
        <v>24</v>
      </c>
      <c r="C319" s="124">
        <v>51987</v>
      </c>
      <c r="D319" s="133">
        <f>SUMIF('Payment Buildup'!A$4:A$34,"="&amp;'Payment Schedule'!A319,'Payment Buildup'!P$4:P$34)</f>
        <v>0</v>
      </c>
      <c r="E319" s="134">
        <f>SUMIF('Payment Buildup'!A$4:A$34,"="&amp;'Payment Schedule'!A319,'Payment Buildup'!Q$4:Q$34)</f>
        <v>0</v>
      </c>
      <c r="F319" s="134">
        <f t="shared" si="24"/>
        <v>0</v>
      </c>
      <c r="G319" s="134">
        <f t="shared" si="14"/>
        <v>-54980.469518511134</v>
      </c>
      <c r="H319" s="136">
        <f t="shared" si="25"/>
        <v>-16549121.325071851</v>
      </c>
    </row>
    <row r="320" spans="1:8" x14ac:dyDescent="0.25">
      <c r="A320" s="119">
        <f t="shared" ref="A320:B325" si="31">A308+1</f>
        <v>24</v>
      </c>
      <c r="B320" s="119">
        <f t="shared" si="31"/>
        <v>24</v>
      </c>
      <c r="C320" s="124">
        <v>52018</v>
      </c>
      <c r="D320" s="133">
        <f>SUMIF('Payment Buildup'!A$4:A$34,"="&amp;'Payment Schedule'!A320,'Payment Buildup'!P$4:P$34)</f>
        <v>5204123.1590450509</v>
      </c>
      <c r="E320" s="134">
        <f>SUMIF('Payment Buildup'!A$4:A$34,"="&amp;'Payment Schedule'!A320,'Payment Buildup'!Q$4:Q$34)</f>
        <v>1132821.3971391406</v>
      </c>
      <c r="F320" s="134">
        <f t="shared" si="24"/>
        <v>4071301.7619059104</v>
      </c>
      <c r="G320" s="134">
        <f t="shared" si="14"/>
        <v>-55163.737750239503</v>
      </c>
      <c r="H320" s="136">
        <f t="shared" si="25"/>
        <v>-20675586.824728001</v>
      </c>
    </row>
    <row r="321" spans="1:8" x14ac:dyDescent="0.25">
      <c r="B321" s="119">
        <f t="shared" si="31"/>
        <v>24</v>
      </c>
      <c r="C321" s="124">
        <v>52048</v>
      </c>
      <c r="D321" s="133">
        <f>SUMIF('Payment Buildup'!A$4:A$34,"="&amp;'Payment Schedule'!A321,'Payment Buildup'!P$4:P$34)</f>
        <v>0</v>
      </c>
      <c r="E321" s="134">
        <f>SUMIF('Payment Buildup'!A$4:A$34,"="&amp;'Payment Schedule'!A321,'Payment Buildup'!Q$4:Q$34)</f>
        <v>0</v>
      </c>
      <c r="F321" s="134">
        <f t="shared" si="24"/>
        <v>0</v>
      </c>
      <c r="G321" s="134">
        <f t="shared" si="14"/>
        <v>-68918.622749093338</v>
      </c>
      <c r="H321" s="136">
        <f t="shared" si="25"/>
        <v>-20744505.447477095</v>
      </c>
    </row>
    <row r="322" spans="1:8" x14ac:dyDescent="0.25">
      <c r="B322" s="119">
        <f t="shared" si="31"/>
        <v>24</v>
      </c>
      <c r="C322" s="124">
        <v>52079</v>
      </c>
      <c r="D322" s="133">
        <f>SUMIF('Payment Buildup'!A$4:A$34,"="&amp;'Payment Schedule'!A322,'Payment Buildup'!P$4:P$34)</f>
        <v>0</v>
      </c>
      <c r="E322" s="134">
        <f>SUMIF('Payment Buildup'!A$4:A$34,"="&amp;'Payment Schedule'!A322,'Payment Buildup'!Q$4:Q$34)</f>
        <v>0</v>
      </c>
      <c r="F322" s="134">
        <f t="shared" si="24"/>
        <v>0</v>
      </c>
      <c r="G322" s="134">
        <f t="shared" si="14"/>
        <v>-69148.351491590322</v>
      </c>
      <c r="H322" s="136">
        <f t="shared" si="25"/>
        <v>-20813653.798968684</v>
      </c>
    </row>
    <row r="323" spans="1:8" x14ac:dyDescent="0.25">
      <c r="B323" s="119">
        <f t="shared" si="31"/>
        <v>24</v>
      </c>
      <c r="C323" s="124">
        <v>52110</v>
      </c>
      <c r="D323" s="133">
        <f>SUMIF('Payment Buildup'!A$4:A$34,"="&amp;'Payment Schedule'!A323,'Payment Buildup'!P$4:P$34)</f>
        <v>0</v>
      </c>
      <c r="E323" s="134">
        <f>SUMIF('Payment Buildup'!A$4:A$34,"="&amp;'Payment Schedule'!A323,'Payment Buildup'!Q$4:Q$34)</f>
        <v>0</v>
      </c>
      <c r="F323" s="134">
        <f t="shared" si="24"/>
        <v>0</v>
      </c>
      <c r="G323" s="134">
        <f t="shared" si="14"/>
        <v>-69378.84599656229</v>
      </c>
      <c r="H323" s="136">
        <f t="shared" si="25"/>
        <v>-20883032.644965246</v>
      </c>
    </row>
    <row r="324" spans="1:8" x14ac:dyDescent="0.25">
      <c r="B324" s="119">
        <f t="shared" si="31"/>
        <v>24</v>
      </c>
      <c r="C324" s="124">
        <v>52140</v>
      </c>
      <c r="D324" s="133">
        <f>SUMIF('Payment Buildup'!A$4:A$34,"="&amp;'Payment Schedule'!A324,'Payment Buildup'!P$4:P$34)</f>
        <v>0</v>
      </c>
      <c r="E324" s="134">
        <f>SUMIF('Payment Buildup'!A$4:A$34,"="&amp;'Payment Schedule'!A324,'Payment Buildup'!Q$4:Q$34)</f>
        <v>0</v>
      </c>
      <c r="F324" s="134">
        <f t="shared" si="24"/>
        <v>0</v>
      </c>
      <c r="G324" s="134">
        <f t="shared" si="14"/>
        <v>-69610.108816550826</v>
      </c>
      <c r="H324" s="136">
        <f t="shared" si="25"/>
        <v>-20952642.753781796</v>
      </c>
    </row>
    <row r="325" spans="1:8" x14ac:dyDescent="0.25">
      <c r="B325" s="119">
        <f t="shared" si="31"/>
        <v>24</v>
      </c>
      <c r="C325" s="124">
        <v>52171</v>
      </c>
      <c r="D325" s="133">
        <f>SUMIF('Payment Buildup'!A$4:A$34,"="&amp;'Payment Schedule'!A325,'Payment Buildup'!P$4:P$34)</f>
        <v>0</v>
      </c>
      <c r="E325" s="134">
        <f>SUMIF('Payment Buildup'!A$4:A$34,"="&amp;'Payment Schedule'!A325,'Payment Buildup'!Q$4:Q$34)</f>
        <v>0</v>
      </c>
      <c r="F325" s="134">
        <f t="shared" si="24"/>
        <v>0</v>
      </c>
      <c r="G325" s="134">
        <f t="shared" si="14"/>
        <v>-69842.142512605991</v>
      </c>
      <c r="H325" s="136">
        <f t="shared" si="25"/>
        <v>-21022484.8962944</v>
      </c>
    </row>
    <row r="326" spans="1:8" x14ac:dyDescent="0.25">
      <c r="B326" s="119">
        <f>B314+1</f>
        <v>24</v>
      </c>
      <c r="C326" s="124">
        <v>52201</v>
      </c>
      <c r="D326" s="133">
        <f>SUMIF('Payment Buildup'!A$4:A$34,"="&amp;'Payment Schedule'!A326,'Payment Buildup'!P$4:P$34)</f>
        <v>0</v>
      </c>
      <c r="E326" s="134">
        <f>SUMIF('Payment Buildup'!A$4:A$34,"="&amp;'Payment Schedule'!A326,'Payment Buildup'!Q$4:Q$34)</f>
        <v>0</v>
      </c>
      <c r="F326" s="134">
        <f t="shared" si="24"/>
        <v>0</v>
      </c>
      <c r="G326" s="134">
        <f t="shared" si="14"/>
        <v>-70074.949654314667</v>
      </c>
      <c r="H326" s="136">
        <f t="shared" si="25"/>
        <v>-21092559.845948715</v>
      </c>
    </row>
    <row r="327" spans="1:8" x14ac:dyDescent="0.25">
      <c r="B327" s="119">
        <f t="shared" ref="B327" si="32">B315+1</f>
        <v>24</v>
      </c>
      <c r="C327" s="124">
        <v>52232</v>
      </c>
      <c r="D327" s="133">
        <f>SUMIF('Payment Buildup'!A$4:A$34,"="&amp;'Payment Schedule'!A327,'Payment Buildup'!P$4:P$34)</f>
        <v>0</v>
      </c>
      <c r="E327" s="134">
        <f>SUMIF('Payment Buildup'!A$4:A$34,"="&amp;'Payment Schedule'!A327,'Payment Buildup'!Q$4:Q$34)</f>
        <v>0</v>
      </c>
      <c r="F327" s="134">
        <f t="shared" si="24"/>
        <v>0</v>
      </c>
      <c r="G327" s="134">
        <f t="shared" si="14"/>
        <v>-70308.532819829052</v>
      </c>
      <c r="H327" s="136">
        <f t="shared" si="25"/>
        <v>-21162868.378768545</v>
      </c>
    </row>
    <row r="328" spans="1:8" x14ac:dyDescent="0.25">
      <c r="B328" s="119">
        <f>B316+1</f>
        <v>25</v>
      </c>
      <c r="C328" s="124">
        <v>52263</v>
      </c>
      <c r="D328" s="133">
        <f>SUMIF('Payment Buildup'!A$4:A$34,"="&amp;'Payment Schedule'!A328,'Payment Buildup'!P$4:P$34)</f>
        <v>0</v>
      </c>
      <c r="E328" s="134">
        <f>SUMIF('Payment Buildup'!A$4:A$34,"="&amp;'Payment Schedule'!A328,'Payment Buildup'!Q$4:Q$34)</f>
        <v>0</v>
      </c>
      <c r="F328" s="134">
        <f t="shared" si="24"/>
        <v>0</v>
      </c>
      <c r="G328" s="134">
        <f t="shared" si="14"/>
        <v>-70542.894595895152</v>
      </c>
      <c r="H328" s="136">
        <f t="shared" si="25"/>
        <v>-21233411.27336444</v>
      </c>
    </row>
    <row r="329" spans="1:8" x14ac:dyDescent="0.25">
      <c r="B329" s="119">
        <f t="shared" ref="B329:B331" si="33">B317+1</f>
        <v>25</v>
      </c>
      <c r="C329" s="124">
        <v>52291</v>
      </c>
      <c r="D329" s="133">
        <f>SUMIF('Payment Buildup'!A$4:A$34,"="&amp;'Payment Schedule'!A329,'Payment Buildup'!P$4:P$34)</f>
        <v>0</v>
      </c>
      <c r="E329" s="134">
        <f>SUMIF('Payment Buildup'!A$4:A$34,"="&amp;'Payment Schedule'!A329,'Payment Buildup'!Q$4:Q$34)</f>
        <v>0</v>
      </c>
      <c r="F329" s="134">
        <f t="shared" si="24"/>
        <v>0</v>
      </c>
      <c r="G329" s="134">
        <f t="shared" si="14"/>
        <v>-70778.037577881463</v>
      </c>
      <c r="H329" s="136">
        <f t="shared" si="25"/>
        <v>-21304189.310942322</v>
      </c>
    </row>
    <row r="330" spans="1:8" x14ac:dyDescent="0.25">
      <c r="B330" s="119">
        <f t="shared" si="33"/>
        <v>25</v>
      </c>
      <c r="C330" s="124">
        <v>52322</v>
      </c>
      <c r="D330" s="133">
        <f>SUMIF('Payment Buildup'!A$4:A$34,"="&amp;'Payment Schedule'!A330,'Payment Buildup'!P$4:P$34)</f>
        <v>0</v>
      </c>
      <c r="E330" s="134">
        <f>SUMIF('Payment Buildup'!A$4:A$34,"="&amp;'Payment Schedule'!A330,'Payment Buildup'!Q$4:Q$34)</f>
        <v>0</v>
      </c>
      <c r="F330" s="134">
        <f t="shared" si="24"/>
        <v>0</v>
      </c>
      <c r="G330" s="134">
        <f t="shared" ref="G330:G393" si="34">H329*(C$6/12)</f>
        <v>-71013.964369807742</v>
      </c>
      <c r="H330" s="136">
        <f t="shared" si="25"/>
        <v>-21375203.275312129</v>
      </c>
    </row>
    <row r="331" spans="1:8" x14ac:dyDescent="0.25">
      <c r="B331" s="119">
        <f t="shared" si="33"/>
        <v>25</v>
      </c>
      <c r="C331" s="124">
        <v>52352</v>
      </c>
      <c r="D331" s="133">
        <f>SUMIF('Payment Buildup'!A$4:A$34,"="&amp;'Payment Schedule'!A331,'Payment Buildup'!P$4:P$34)</f>
        <v>0</v>
      </c>
      <c r="E331" s="134">
        <f>SUMIF('Payment Buildup'!A$4:A$34,"="&amp;'Payment Schedule'!A331,'Payment Buildup'!Q$4:Q$34)</f>
        <v>0</v>
      </c>
      <c r="F331" s="134">
        <f t="shared" si="24"/>
        <v>0</v>
      </c>
      <c r="G331" s="134">
        <f t="shared" si="34"/>
        <v>-71250.677584373771</v>
      </c>
      <c r="H331" s="136">
        <f t="shared" si="25"/>
        <v>-21446453.952896502</v>
      </c>
    </row>
    <row r="332" spans="1:8" x14ac:dyDescent="0.25">
      <c r="A332" s="119">
        <f t="shared" ref="A332:B337" si="35">A320+1</f>
        <v>25</v>
      </c>
      <c r="B332" s="119">
        <f t="shared" si="35"/>
        <v>25</v>
      </c>
      <c r="C332" s="124">
        <v>52383</v>
      </c>
      <c r="D332" s="133">
        <f>SUMIF('Payment Buildup'!A$4:A$34,"="&amp;'Payment Schedule'!A332,'Payment Buildup'!P$4:P$34)</f>
        <v>5360246.8538164031</v>
      </c>
      <c r="E332" s="134">
        <f>SUMIF('Payment Buildup'!A$4:A$34,"="&amp;'Payment Schedule'!A332,'Payment Buildup'!Q$4:Q$34)</f>
        <v>1166806.0390533148</v>
      </c>
      <c r="F332" s="134">
        <f t="shared" si="24"/>
        <v>4193440.8147630882</v>
      </c>
      <c r="G332" s="134">
        <f t="shared" si="34"/>
        <v>-71488.179842988349</v>
      </c>
      <c r="H332" s="136">
        <f t="shared" si="25"/>
        <v>-25711382.94750258</v>
      </c>
    </row>
    <row r="333" spans="1:8" x14ac:dyDescent="0.25">
      <c r="B333" s="119">
        <f t="shared" si="35"/>
        <v>25</v>
      </c>
      <c r="C333" s="124">
        <v>52413</v>
      </c>
      <c r="D333" s="133">
        <f>SUMIF('Payment Buildup'!A$4:A$34,"="&amp;'Payment Schedule'!A333,'Payment Buildup'!P$4:P$34)</f>
        <v>0</v>
      </c>
      <c r="E333" s="134">
        <f>SUMIF('Payment Buildup'!A$4:A$34,"="&amp;'Payment Schedule'!A333,'Payment Buildup'!Q$4:Q$34)</f>
        <v>0</v>
      </c>
      <c r="F333" s="134">
        <f t="shared" si="24"/>
        <v>0</v>
      </c>
      <c r="G333" s="134">
        <f t="shared" si="34"/>
        <v>-85704.609825008607</v>
      </c>
      <c r="H333" s="136">
        <f t="shared" si="25"/>
        <v>-25797087.557327587</v>
      </c>
    </row>
    <row r="334" spans="1:8" x14ac:dyDescent="0.25">
      <c r="B334" s="119">
        <f t="shared" si="35"/>
        <v>25</v>
      </c>
      <c r="C334" s="124">
        <v>52444</v>
      </c>
      <c r="D334" s="133">
        <f>SUMIF('Payment Buildup'!A$4:A$34,"="&amp;'Payment Schedule'!A334,'Payment Buildup'!P$4:P$34)</f>
        <v>0</v>
      </c>
      <c r="E334" s="134">
        <f>SUMIF('Payment Buildup'!A$4:A$34,"="&amp;'Payment Schedule'!A334,'Payment Buildup'!Q$4:Q$34)</f>
        <v>0</v>
      </c>
      <c r="F334" s="134">
        <f t="shared" si="24"/>
        <v>0</v>
      </c>
      <c r="G334" s="134">
        <f t="shared" si="34"/>
        <v>-85990.291857758624</v>
      </c>
      <c r="H334" s="136">
        <f t="shared" si="25"/>
        <v>-25883077.849185348</v>
      </c>
    </row>
    <row r="335" spans="1:8" x14ac:dyDescent="0.25">
      <c r="B335" s="119">
        <f t="shared" si="35"/>
        <v>25</v>
      </c>
      <c r="C335" s="124">
        <v>52475</v>
      </c>
      <c r="D335" s="133">
        <f>SUMIF('Payment Buildup'!A$4:A$34,"="&amp;'Payment Schedule'!A335,'Payment Buildup'!P$4:P$34)</f>
        <v>0</v>
      </c>
      <c r="E335" s="134">
        <f>SUMIF('Payment Buildup'!A$4:A$34,"="&amp;'Payment Schedule'!A335,'Payment Buildup'!Q$4:Q$34)</f>
        <v>0</v>
      </c>
      <c r="F335" s="134">
        <f t="shared" si="24"/>
        <v>0</v>
      </c>
      <c r="G335" s="134">
        <f t="shared" si="34"/>
        <v>-86276.926163951168</v>
      </c>
      <c r="H335" s="136">
        <f t="shared" si="25"/>
        <v>-25969354.7753493</v>
      </c>
    </row>
    <row r="336" spans="1:8" x14ac:dyDescent="0.25">
      <c r="B336" s="119">
        <f t="shared" si="35"/>
        <v>25</v>
      </c>
      <c r="C336" s="124">
        <v>52505</v>
      </c>
      <c r="D336" s="133">
        <f>SUMIF('Payment Buildup'!A$4:A$34,"="&amp;'Payment Schedule'!A336,'Payment Buildup'!P$4:P$34)</f>
        <v>0</v>
      </c>
      <c r="E336" s="134">
        <f>SUMIF('Payment Buildup'!A$4:A$34,"="&amp;'Payment Schedule'!A336,'Payment Buildup'!Q$4:Q$34)</f>
        <v>0</v>
      </c>
      <c r="F336" s="134">
        <f t="shared" si="24"/>
        <v>0</v>
      </c>
      <c r="G336" s="134">
        <f t="shared" si="34"/>
        <v>-86564.515917831013</v>
      </c>
      <c r="H336" s="136">
        <f t="shared" si="25"/>
        <v>-26055919.291267131</v>
      </c>
    </row>
    <row r="337" spans="1:8" x14ac:dyDescent="0.25">
      <c r="B337" s="119">
        <f t="shared" si="35"/>
        <v>25</v>
      </c>
      <c r="C337" s="124">
        <v>52536</v>
      </c>
      <c r="D337" s="133">
        <f>SUMIF('Payment Buildup'!A$4:A$34,"="&amp;'Payment Schedule'!A337,'Payment Buildup'!P$4:P$34)</f>
        <v>0</v>
      </c>
      <c r="E337" s="134">
        <f>SUMIF('Payment Buildup'!A$4:A$34,"="&amp;'Payment Schedule'!A337,'Payment Buildup'!Q$4:Q$34)</f>
        <v>0</v>
      </c>
      <c r="F337" s="134">
        <f t="shared" si="24"/>
        <v>0</v>
      </c>
      <c r="G337" s="134">
        <f t="shared" si="34"/>
        <v>-86853.064304223779</v>
      </c>
      <c r="H337" s="136">
        <f t="shared" si="25"/>
        <v>-26142772.355571356</v>
      </c>
    </row>
    <row r="338" spans="1:8" x14ac:dyDescent="0.25">
      <c r="B338" s="119">
        <f>B326+1</f>
        <v>25</v>
      </c>
      <c r="C338" s="124">
        <v>52566</v>
      </c>
      <c r="D338" s="133">
        <f>SUMIF('Payment Buildup'!A$4:A$34,"="&amp;'Payment Schedule'!A338,'Payment Buildup'!P$4:P$34)</f>
        <v>0</v>
      </c>
      <c r="E338" s="134">
        <f>SUMIF('Payment Buildup'!A$4:A$34,"="&amp;'Payment Schedule'!A338,'Payment Buildup'!Q$4:Q$34)</f>
        <v>0</v>
      </c>
      <c r="F338" s="134">
        <f t="shared" si="24"/>
        <v>0</v>
      </c>
      <c r="G338" s="134">
        <f t="shared" si="34"/>
        <v>-87142.574518571186</v>
      </c>
      <c r="H338" s="136">
        <f t="shared" si="25"/>
        <v>-26229914.930089928</v>
      </c>
    </row>
    <row r="339" spans="1:8" x14ac:dyDescent="0.25">
      <c r="B339" s="119">
        <f t="shared" ref="B339" si="36">B327+1</f>
        <v>25</v>
      </c>
      <c r="C339" s="124">
        <v>52597</v>
      </c>
      <c r="D339" s="133">
        <f>SUMIF('Payment Buildup'!A$4:A$34,"="&amp;'Payment Schedule'!A339,'Payment Buildup'!P$4:P$34)</f>
        <v>0</v>
      </c>
      <c r="E339" s="134">
        <f>SUMIF('Payment Buildup'!A$4:A$34,"="&amp;'Payment Schedule'!A339,'Payment Buildup'!Q$4:Q$34)</f>
        <v>0</v>
      </c>
      <c r="F339" s="134">
        <f t="shared" si="24"/>
        <v>0</v>
      </c>
      <c r="G339" s="134">
        <f t="shared" si="34"/>
        <v>-87433.049766966433</v>
      </c>
      <c r="H339" s="136">
        <f t="shared" si="25"/>
        <v>-26317347.979856893</v>
      </c>
    </row>
    <row r="340" spans="1:8" x14ac:dyDescent="0.25">
      <c r="B340" s="119">
        <f>B328+1</f>
        <v>26</v>
      </c>
      <c r="C340" s="124">
        <v>52628</v>
      </c>
      <c r="D340" s="133">
        <f>SUMIF('Payment Buildup'!A$4:A$34,"="&amp;'Payment Schedule'!A340,'Payment Buildup'!P$4:P$34)</f>
        <v>0</v>
      </c>
      <c r="E340" s="134">
        <f>SUMIF('Payment Buildup'!A$4:A$34,"="&amp;'Payment Schedule'!A340,'Payment Buildup'!Q$4:Q$34)</f>
        <v>0</v>
      </c>
      <c r="F340" s="134">
        <f t="shared" si="24"/>
        <v>0</v>
      </c>
      <c r="G340" s="134">
        <f t="shared" si="34"/>
        <v>-87724.493266189646</v>
      </c>
      <c r="H340" s="136">
        <f t="shared" si="25"/>
        <v>-26405072.473123085</v>
      </c>
    </row>
    <row r="341" spans="1:8" x14ac:dyDescent="0.25">
      <c r="B341" s="119">
        <f t="shared" ref="B341:B343" si="37">B329+1</f>
        <v>26</v>
      </c>
      <c r="C341" s="124">
        <v>52657</v>
      </c>
      <c r="D341" s="133">
        <f>SUMIF('Payment Buildup'!A$4:A$34,"="&amp;'Payment Schedule'!A341,'Payment Buildup'!P$4:P$34)</f>
        <v>0</v>
      </c>
      <c r="E341" s="134">
        <f>SUMIF('Payment Buildup'!A$4:A$34,"="&amp;'Payment Schedule'!A341,'Payment Buildup'!Q$4:Q$34)</f>
        <v>0</v>
      </c>
      <c r="F341" s="134">
        <f t="shared" si="24"/>
        <v>0</v>
      </c>
      <c r="G341" s="134">
        <f t="shared" si="34"/>
        <v>-88016.908243743615</v>
      </c>
      <c r="H341" s="136">
        <f t="shared" si="25"/>
        <v>-26493089.381366827</v>
      </c>
    </row>
    <row r="342" spans="1:8" x14ac:dyDescent="0.25">
      <c r="B342" s="119">
        <f t="shared" si="37"/>
        <v>26</v>
      </c>
      <c r="C342" s="124">
        <v>52688</v>
      </c>
      <c r="D342" s="133">
        <f>SUMIF('Payment Buildup'!A$4:A$34,"="&amp;'Payment Schedule'!A342,'Payment Buildup'!P$4:P$34)</f>
        <v>0</v>
      </c>
      <c r="E342" s="134">
        <f>SUMIF('Payment Buildup'!A$4:A$34,"="&amp;'Payment Schedule'!A342,'Payment Buildup'!Q$4:Q$34)</f>
        <v>0</v>
      </c>
      <c r="F342" s="134">
        <f t="shared" si="24"/>
        <v>0</v>
      </c>
      <c r="G342" s="134">
        <f t="shared" si="34"/>
        <v>-88310.297937889423</v>
      </c>
      <c r="H342" s="136">
        <f t="shared" si="25"/>
        <v>-26581399.679304715</v>
      </c>
    </row>
    <row r="343" spans="1:8" x14ac:dyDescent="0.25">
      <c r="B343" s="119">
        <f t="shared" si="37"/>
        <v>26</v>
      </c>
      <c r="C343" s="124">
        <v>52718</v>
      </c>
      <c r="D343" s="133">
        <f>SUMIF('Payment Buildup'!A$4:A$34,"="&amp;'Payment Schedule'!A343,'Payment Buildup'!P$4:P$34)</f>
        <v>0</v>
      </c>
      <c r="E343" s="134">
        <f>SUMIF('Payment Buildup'!A$4:A$34,"="&amp;'Payment Schedule'!A343,'Payment Buildup'!Q$4:Q$34)</f>
        <v>0</v>
      </c>
      <c r="F343" s="134">
        <f t="shared" si="24"/>
        <v>0</v>
      </c>
      <c r="G343" s="134">
        <f t="shared" si="34"/>
        <v>-88604.665597682397</v>
      </c>
      <c r="H343" s="136">
        <f t="shared" si="25"/>
        <v>-26670004.344902396</v>
      </c>
    </row>
    <row r="344" spans="1:8" x14ac:dyDescent="0.25">
      <c r="A344" s="119">
        <f t="shared" ref="A344:B349" si="38">A332+1</f>
        <v>26</v>
      </c>
      <c r="B344" s="119">
        <f t="shared" si="38"/>
        <v>26</v>
      </c>
      <c r="C344" s="124">
        <v>52749</v>
      </c>
      <c r="D344" s="133">
        <f>SUMIF('Payment Buildup'!A$4:A$34,"="&amp;'Payment Schedule'!A344,'Payment Buildup'!P$4:P$34)</f>
        <v>5521054.2594308946</v>
      </c>
      <c r="E344" s="134">
        <f>SUMIF('Payment Buildup'!A$4:A$34,"="&amp;'Payment Schedule'!A344,'Payment Buildup'!Q$4:Q$34)</f>
        <v>1201810.2202249144</v>
      </c>
      <c r="F344" s="134">
        <f t="shared" si="24"/>
        <v>4319244.0392059805</v>
      </c>
      <c r="G344" s="134">
        <f t="shared" si="34"/>
        <v>-88900.014483007995</v>
      </c>
      <c r="H344" s="136">
        <f t="shared" si="25"/>
        <v>-31078148.398591384</v>
      </c>
    </row>
    <row r="345" spans="1:8" x14ac:dyDescent="0.25">
      <c r="B345" s="119">
        <f t="shared" si="38"/>
        <v>26</v>
      </c>
      <c r="C345" s="124">
        <v>52779</v>
      </c>
      <c r="D345" s="133">
        <f>SUMIF('Payment Buildup'!A$4:A$34,"="&amp;'Payment Schedule'!A345,'Payment Buildup'!P$4:P$34)</f>
        <v>0</v>
      </c>
      <c r="E345" s="134">
        <f>SUMIF('Payment Buildup'!A$4:A$34,"="&amp;'Payment Schedule'!A345,'Payment Buildup'!Q$4:Q$34)</f>
        <v>0</v>
      </c>
      <c r="F345" s="134">
        <f t="shared" si="24"/>
        <v>0</v>
      </c>
      <c r="G345" s="134">
        <f t="shared" si="34"/>
        <v>-103593.82799530461</v>
      </c>
      <c r="H345" s="136">
        <f t="shared" si="25"/>
        <v>-31181742.226586688</v>
      </c>
    </row>
    <row r="346" spans="1:8" x14ac:dyDescent="0.25">
      <c r="B346" s="119">
        <f t="shared" si="38"/>
        <v>26</v>
      </c>
      <c r="C346" s="124">
        <v>52810</v>
      </c>
      <c r="D346" s="133">
        <f>SUMIF('Payment Buildup'!A$4:A$34,"="&amp;'Payment Schedule'!A346,'Payment Buildup'!P$4:P$34)</f>
        <v>0</v>
      </c>
      <c r="E346" s="134">
        <f>SUMIF('Payment Buildup'!A$4:A$34,"="&amp;'Payment Schedule'!A346,'Payment Buildup'!Q$4:Q$34)</f>
        <v>0</v>
      </c>
      <c r="F346" s="134">
        <f t="shared" si="24"/>
        <v>0</v>
      </c>
      <c r="G346" s="134">
        <f t="shared" si="34"/>
        <v>-103939.14075528897</v>
      </c>
      <c r="H346" s="136">
        <f t="shared" si="25"/>
        <v>-31285681.367341977</v>
      </c>
    </row>
    <row r="347" spans="1:8" x14ac:dyDescent="0.25">
      <c r="B347" s="119">
        <f t="shared" si="38"/>
        <v>26</v>
      </c>
      <c r="C347" s="124">
        <v>52841</v>
      </c>
      <c r="D347" s="133">
        <f>SUMIF('Payment Buildup'!A$4:A$34,"="&amp;'Payment Schedule'!A347,'Payment Buildup'!P$4:P$34)</f>
        <v>0</v>
      </c>
      <c r="E347" s="134">
        <f>SUMIF('Payment Buildup'!A$4:A$34,"="&amp;'Payment Schedule'!A347,'Payment Buildup'!Q$4:Q$34)</f>
        <v>0</v>
      </c>
      <c r="F347" s="134">
        <f t="shared" si="24"/>
        <v>0</v>
      </c>
      <c r="G347" s="134">
        <f t="shared" si="34"/>
        <v>-104285.6045578066</v>
      </c>
      <c r="H347" s="136">
        <f t="shared" si="25"/>
        <v>-31389966.971899781</v>
      </c>
    </row>
    <row r="348" spans="1:8" x14ac:dyDescent="0.25">
      <c r="B348" s="119">
        <f t="shared" si="38"/>
        <v>26</v>
      </c>
      <c r="C348" s="124">
        <v>52871</v>
      </c>
      <c r="D348" s="133">
        <f>SUMIF('Payment Buildup'!A$4:A$34,"="&amp;'Payment Schedule'!A348,'Payment Buildup'!P$4:P$34)</f>
        <v>0</v>
      </c>
      <c r="E348" s="134">
        <f>SUMIF('Payment Buildup'!A$4:A$34,"="&amp;'Payment Schedule'!A348,'Payment Buildup'!Q$4:Q$34)</f>
        <v>0</v>
      </c>
      <c r="F348" s="134">
        <f t="shared" si="24"/>
        <v>0</v>
      </c>
      <c r="G348" s="134">
        <f t="shared" si="34"/>
        <v>-104633.22323966594</v>
      </c>
      <c r="H348" s="136">
        <f t="shared" si="25"/>
        <v>-31494600.195139449</v>
      </c>
    </row>
    <row r="349" spans="1:8" x14ac:dyDescent="0.25">
      <c r="B349" s="119">
        <f t="shared" si="38"/>
        <v>26</v>
      </c>
      <c r="C349" s="124">
        <v>52902</v>
      </c>
      <c r="D349" s="133">
        <f>SUMIF('Payment Buildup'!A$4:A$34,"="&amp;'Payment Schedule'!A349,'Payment Buildup'!P$4:P$34)</f>
        <v>0</v>
      </c>
      <c r="E349" s="134">
        <f>SUMIF('Payment Buildup'!A$4:A$34,"="&amp;'Payment Schedule'!A349,'Payment Buildup'!Q$4:Q$34)</f>
        <v>0</v>
      </c>
      <c r="F349" s="134">
        <f t="shared" si="24"/>
        <v>0</v>
      </c>
      <c r="G349" s="134">
        <f t="shared" si="34"/>
        <v>-104982.00065046483</v>
      </c>
      <c r="H349" s="136">
        <f t="shared" si="25"/>
        <v>-31599582.195789915</v>
      </c>
    </row>
    <row r="350" spans="1:8" x14ac:dyDescent="0.25">
      <c r="B350" s="119">
        <f>B338+1</f>
        <v>26</v>
      </c>
      <c r="C350" s="124">
        <v>52932</v>
      </c>
      <c r="D350" s="133">
        <f>SUMIF('Payment Buildup'!A$4:A$34,"="&amp;'Payment Schedule'!A350,'Payment Buildup'!P$4:P$34)</f>
        <v>0</v>
      </c>
      <c r="E350" s="134">
        <f>SUMIF('Payment Buildup'!A$4:A$34,"="&amp;'Payment Schedule'!A350,'Payment Buildup'!Q$4:Q$34)</f>
        <v>0</v>
      </c>
      <c r="F350" s="134">
        <f t="shared" si="24"/>
        <v>0</v>
      </c>
      <c r="G350" s="134">
        <f t="shared" si="34"/>
        <v>-105331.94065263306</v>
      </c>
      <c r="H350" s="136">
        <f t="shared" si="25"/>
        <v>-31704914.136442546</v>
      </c>
    </row>
    <row r="351" spans="1:8" x14ac:dyDescent="0.25">
      <c r="B351" s="119">
        <f t="shared" ref="B351:B403" si="39">B339+1</f>
        <v>26</v>
      </c>
      <c r="C351" s="124">
        <v>52963</v>
      </c>
      <c r="D351" s="133">
        <f>SUMIF('Payment Buildup'!A$4:A$34,"="&amp;'Payment Schedule'!A351,'Payment Buildup'!P$4:P$34)</f>
        <v>0</v>
      </c>
      <c r="E351" s="134">
        <f>SUMIF('Payment Buildup'!A$4:A$34,"="&amp;'Payment Schedule'!A351,'Payment Buildup'!Q$4:Q$34)</f>
        <v>0</v>
      </c>
      <c r="F351" s="134">
        <f t="shared" si="24"/>
        <v>0</v>
      </c>
      <c r="G351" s="134">
        <f t="shared" si="34"/>
        <v>-105683.04712147516</v>
      </c>
      <c r="H351" s="136">
        <f t="shared" si="25"/>
        <v>-31810597.183564022</v>
      </c>
    </row>
    <row r="352" spans="1:8" x14ac:dyDescent="0.25">
      <c r="B352" s="119">
        <f t="shared" si="39"/>
        <v>27</v>
      </c>
      <c r="C352" s="124">
        <v>52994</v>
      </c>
      <c r="D352" s="133">
        <f>SUMIF('Payment Buildup'!A$4:A$34,"="&amp;'Payment Schedule'!A352,'Payment Buildup'!P$4:P$34)</f>
        <v>0</v>
      </c>
      <c r="E352" s="134">
        <f>SUMIF('Payment Buildup'!A$4:A$34,"="&amp;'Payment Schedule'!A352,'Payment Buildup'!Q$4:Q$34)</f>
        <v>0</v>
      </c>
      <c r="F352" s="134">
        <f t="shared" si="24"/>
        <v>0</v>
      </c>
      <c r="G352" s="134">
        <f t="shared" si="34"/>
        <v>-106035.32394521341</v>
      </c>
      <c r="H352" s="136">
        <f t="shared" si="25"/>
        <v>-31916632.507509235</v>
      </c>
    </row>
    <row r="353" spans="1:8" x14ac:dyDescent="0.25">
      <c r="B353" s="119">
        <f t="shared" si="39"/>
        <v>27</v>
      </c>
      <c r="C353" s="124">
        <v>53022</v>
      </c>
      <c r="D353" s="133">
        <f>SUMIF('Payment Buildup'!A$4:A$34,"="&amp;'Payment Schedule'!A353,'Payment Buildup'!P$4:P$34)</f>
        <v>0</v>
      </c>
      <c r="E353" s="134">
        <f>SUMIF('Payment Buildup'!A$4:A$34,"="&amp;'Payment Schedule'!A353,'Payment Buildup'!Q$4:Q$34)</f>
        <v>0</v>
      </c>
      <c r="F353" s="134">
        <f t="shared" si="24"/>
        <v>0</v>
      </c>
      <c r="G353" s="134">
        <f t="shared" si="34"/>
        <v>-106388.77502503079</v>
      </c>
      <c r="H353" s="136">
        <f t="shared" si="25"/>
        <v>-32023021.282534268</v>
      </c>
    </row>
    <row r="354" spans="1:8" x14ac:dyDescent="0.25">
      <c r="B354" s="119">
        <f t="shared" si="39"/>
        <v>27</v>
      </c>
      <c r="C354" s="124">
        <v>53053</v>
      </c>
      <c r="D354" s="133">
        <f>SUMIF('Payment Buildup'!A$4:A$34,"="&amp;'Payment Schedule'!A354,'Payment Buildup'!P$4:P$34)</f>
        <v>0</v>
      </c>
      <c r="E354" s="134">
        <f>SUMIF('Payment Buildup'!A$4:A$34,"="&amp;'Payment Schedule'!A354,'Payment Buildup'!Q$4:Q$34)</f>
        <v>0</v>
      </c>
      <c r="F354" s="134">
        <f t="shared" si="24"/>
        <v>0</v>
      </c>
      <c r="G354" s="134">
        <f t="shared" si="34"/>
        <v>-106743.40427511423</v>
      </c>
      <c r="H354" s="136">
        <f t="shared" si="25"/>
        <v>-32129764.686809383</v>
      </c>
    </row>
    <row r="355" spans="1:8" x14ac:dyDescent="0.25">
      <c r="B355" s="119">
        <f t="shared" si="39"/>
        <v>27</v>
      </c>
      <c r="C355" s="124">
        <v>53083</v>
      </c>
      <c r="D355" s="133">
        <f>SUMIF('Payment Buildup'!A$4:A$34,"="&amp;'Payment Schedule'!A355,'Payment Buildup'!P$4:P$34)</f>
        <v>0</v>
      </c>
      <c r="E355" s="134">
        <f>SUMIF('Payment Buildup'!A$4:A$34,"="&amp;'Payment Schedule'!A355,'Payment Buildup'!Q$4:Q$34)</f>
        <v>0</v>
      </c>
      <c r="F355" s="134">
        <f t="shared" si="24"/>
        <v>0</v>
      </c>
      <c r="G355" s="134">
        <f t="shared" si="34"/>
        <v>-107099.21562269796</v>
      </c>
      <c r="H355" s="136">
        <f t="shared" si="25"/>
        <v>-32236863.90243208</v>
      </c>
    </row>
    <row r="356" spans="1:8" x14ac:dyDescent="0.25">
      <c r="A356" s="119">
        <f t="shared" ref="A356:B367" si="40">A344+1</f>
        <v>27</v>
      </c>
      <c r="B356" s="119">
        <f t="shared" si="40"/>
        <v>27</v>
      </c>
      <c r="C356" s="124">
        <v>53114</v>
      </c>
      <c r="D356" s="133">
        <f>SUMIF('Payment Buildup'!A$4:A$34,"="&amp;'Payment Schedule'!A356,'Payment Buildup'!P$4:P$34)</f>
        <v>5686685.8872138225</v>
      </c>
      <c r="E356" s="134">
        <f>SUMIF('Payment Buildup'!A$4:A$34,"="&amp;'Payment Schedule'!A356,'Payment Buildup'!Q$4:Q$34)</f>
        <v>1237864.5268316618</v>
      </c>
      <c r="F356" s="134">
        <f t="shared" si="24"/>
        <v>4448821.3603821602</v>
      </c>
      <c r="G356" s="134">
        <f t="shared" si="34"/>
        <v>-107456.21300810695</v>
      </c>
      <c r="H356" s="136">
        <f t="shared" si="25"/>
        <v>-36793141.475822344</v>
      </c>
    </row>
    <row r="357" spans="1:8" x14ac:dyDescent="0.25">
      <c r="B357" s="119">
        <f t="shared" si="40"/>
        <v>27</v>
      </c>
      <c r="C357" s="124">
        <v>53144</v>
      </c>
      <c r="D357" s="133">
        <f>SUMIF('Payment Buildup'!A$4:A$34,"="&amp;'Payment Schedule'!A357,'Payment Buildup'!P$4:P$34)</f>
        <v>0</v>
      </c>
      <c r="E357" s="134">
        <f>SUMIF('Payment Buildup'!A$4:A$34,"="&amp;'Payment Schedule'!A357,'Payment Buildup'!Q$4:Q$34)</f>
        <v>0</v>
      </c>
      <c r="F357" s="134">
        <f t="shared" si="24"/>
        <v>0</v>
      </c>
      <c r="G357" s="134">
        <f t="shared" si="34"/>
        <v>-122643.80491940782</v>
      </c>
      <c r="H357" s="136">
        <f t="shared" si="25"/>
        <v>-36915785.280741751</v>
      </c>
    </row>
    <row r="358" spans="1:8" x14ac:dyDescent="0.25">
      <c r="B358" s="119">
        <f t="shared" si="40"/>
        <v>27</v>
      </c>
      <c r="C358" s="124">
        <v>53175</v>
      </c>
      <c r="D358" s="133">
        <f>SUMIF('Payment Buildup'!A$4:A$34,"="&amp;'Payment Schedule'!A358,'Payment Buildup'!P$4:P$34)</f>
        <v>0</v>
      </c>
      <c r="E358" s="134">
        <f>SUMIF('Payment Buildup'!A$4:A$34,"="&amp;'Payment Schedule'!A358,'Payment Buildup'!Q$4:Q$34)</f>
        <v>0</v>
      </c>
      <c r="F358" s="134">
        <f t="shared" si="24"/>
        <v>0</v>
      </c>
      <c r="G358" s="134">
        <f t="shared" si="34"/>
        <v>-123052.61760247251</v>
      </c>
      <c r="H358" s="136">
        <f t="shared" si="25"/>
        <v>-37038837.898344226</v>
      </c>
    </row>
    <row r="359" spans="1:8" x14ac:dyDescent="0.25">
      <c r="B359" s="119">
        <f t="shared" si="40"/>
        <v>27</v>
      </c>
      <c r="C359" s="124">
        <v>53206</v>
      </c>
      <c r="D359" s="133">
        <f>SUMIF('Payment Buildup'!A$4:A$34,"="&amp;'Payment Schedule'!A359,'Payment Buildup'!P$4:P$34)</f>
        <v>0</v>
      </c>
      <c r="E359" s="134">
        <f>SUMIF('Payment Buildup'!A$4:A$34,"="&amp;'Payment Schedule'!A359,'Payment Buildup'!Q$4:Q$34)</f>
        <v>0</v>
      </c>
      <c r="F359" s="134">
        <f t="shared" si="24"/>
        <v>0</v>
      </c>
      <c r="G359" s="134">
        <f t="shared" si="34"/>
        <v>-123462.79299448075</v>
      </c>
      <c r="H359" s="136">
        <f t="shared" si="25"/>
        <v>-37162300.69133871</v>
      </c>
    </row>
    <row r="360" spans="1:8" x14ac:dyDescent="0.25">
      <c r="B360" s="119">
        <f t="shared" si="40"/>
        <v>27</v>
      </c>
      <c r="C360" s="124">
        <v>53236</v>
      </c>
      <c r="D360" s="133">
        <f>SUMIF('Payment Buildup'!A$4:A$34,"="&amp;'Payment Schedule'!A360,'Payment Buildup'!P$4:P$34)</f>
        <v>0</v>
      </c>
      <c r="E360" s="134">
        <f>SUMIF('Payment Buildup'!A$4:A$34,"="&amp;'Payment Schedule'!A360,'Payment Buildup'!Q$4:Q$34)</f>
        <v>0</v>
      </c>
      <c r="F360" s="134">
        <f t="shared" ref="F360:F423" si="41">D360-E360</f>
        <v>0</v>
      </c>
      <c r="G360" s="134">
        <f t="shared" si="34"/>
        <v>-123874.33563779571</v>
      </c>
      <c r="H360" s="136">
        <f t="shared" ref="H360:H423" si="42">H359+G360-F360</f>
        <v>-37286175.026976503</v>
      </c>
    </row>
    <row r="361" spans="1:8" x14ac:dyDescent="0.25">
      <c r="B361" s="119">
        <f t="shared" si="40"/>
        <v>27</v>
      </c>
      <c r="C361" s="124">
        <v>53267</v>
      </c>
      <c r="D361" s="133">
        <f>SUMIF('Payment Buildup'!A$4:A$34,"="&amp;'Payment Schedule'!A361,'Payment Buildup'!P$4:P$34)</f>
        <v>0</v>
      </c>
      <c r="E361" s="134">
        <f>SUMIF('Payment Buildup'!A$4:A$34,"="&amp;'Payment Schedule'!A361,'Payment Buildup'!Q$4:Q$34)</f>
        <v>0</v>
      </c>
      <c r="F361" s="134">
        <f t="shared" si="41"/>
        <v>0</v>
      </c>
      <c r="G361" s="134">
        <f t="shared" si="34"/>
        <v>-124287.25008992168</v>
      </c>
      <c r="H361" s="136">
        <f t="shared" si="42"/>
        <v>-37410462.277066424</v>
      </c>
    </row>
    <row r="362" spans="1:8" x14ac:dyDescent="0.25">
      <c r="B362" s="119">
        <f t="shared" si="40"/>
        <v>27</v>
      </c>
      <c r="C362" s="124">
        <v>53297</v>
      </c>
      <c r="D362" s="133">
        <f>SUMIF('Payment Buildup'!A$4:A$34,"="&amp;'Payment Schedule'!A362,'Payment Buildup'!P$4:P$34)</f>
        <v>0</v>
      </c>
      <c r="E362" s="134">
        <f>SUMIF('Payment Buildup'!A$4:A$34,"="&amp;'Payment Schedule'!A362,'Payment Buildup'!Q$4:Q$34)</f>
        <v>0</v>
      </c>
      <c r="F362" s="134">
        <f t="shared" si="41"/>
        <v>0</v>
      </c>
      <c r="G362" s="134">
        <f t="shared" si="34"/>
        <v>-124701.54092355476</v>
      </c>
      <c r="H362" s="136">
        <f t="shared" si="42"/>
        <v>-37535163.817989983</v>
      </c>
    </row>
    <row r="363" spans="1:8" x14ac:dyDescent="0.25">
      <c r="B363" s="119">
        <f t="shared" si="40"/>
        <v>27</v>
      </c>
      <c r="C363" s="124">
        <v>53328</v>
      </c>
      <c r="D363" s="133">
        <f>SUMIF('Payment Buildup'!A$4:A$34,"="&amp;'Payment Schedule'!A363,'Payment Buildup'!P$4:P$34)</f>
        <v>0</v>
      </c>
      <c r="E363" s="134">
        <f>SUMIF('Payment Buildup'!A$4:A$34,"="&amp;'Payment Schedule'!A363,'Payment Buildup'!Q$4:Q$34)</f>
        <v>0</v>
      </c>
      <c r="F363" s="134">
        <f t="shared" si="41"/>
        <v>0</v>
      </c>
      <c r="G363" s="134">
        <f t="shared" si="34"/>
        <v>-125117.21272663328</v>
      </c>
      <c r="H363" s="136">
        <f t="shared" si="42"/>
        <v>-37660281.030716613</v>
      </c>
    </row>
    <row r="364" spans="1:8" x14ac:dyDescent="0.25">
      <c r="B364" s="119">
        <f t="shared" si="40"/>
        <v>28</v>
      </c>
      <c r="C364" s="124">
        <v>53359</v>
      </c>
      <c r="D364" s="133">
        <f>SUMIF('Payment Buildup'!A$4:A$34,"="&amp;'Payment Schedule'!A364,'Payment Buildup'!P$4:P$34)</f>
        <v>0</v>
      </c>
      <c r="E364" s="134">
        <f>SUMIF('Payment Buildup'!A$4:A$34,"="&amp;'Payment Schedule'!A364,'Payment Buildup'!Q$4:Q$34)</f>
        <v>0</v>
      </c>
      <c r="F364" s="134">
        <f t="shared" si="41"/>
        <v>0</v>
      </c>
      <c r="G364" s="134">
        <f t="shared" si="34"/>
        <v>-125534.27010238872</v>
      </c>
      <c r="H364" s="136">
        <f t="shared" si="42"/>
        <v>-37785815.300819002</v>
      </c>
    </row>
    <row r="365" spans="1:8" x14ac:dyDescent="0.25">
      <c r="B365" s="119">
        <f t="shared" si="40"/>
        <v>28</v>
      </c>
      <c r="C365" s="124">
        <v>53387</v>
      </c>
      <c r="D365" s="133">
        <f>SUMIF('Payment Buildup'!A$4:A$34,"="&amp;'Payment Schedule'!A365,'Payment Buildup'!P$4:P$34)</f>
        <v>0</v>
      </c>
      <c r="E365" s="134">
        <f>SUMIF('Payment Buildup'!A$4:A$34,"="&amp;'Payment Schedule'!A365,'Payment Buildup'!Q$4:Q$34)</f>
        <v>0</v>
      </c>
      <c r="F365" s="134">
        <f t="shared" si="41"/>
        <v>0</v>
      </c>
      <c r="G365" s="134">
        <f t="shared" si="34"/>
        <v>-125952.71766939668</v>
      </c>
      <c r="H365" s="136">
        <f t="shared" si="42"/>
        <v>-37911768.0184884</v>
      </c>
    </row>
    <row r="366" spans="1:8" x14ac:dyDescent="0.25">
      <c r="B366" s="119">
        <f t="shared" si="40"/>
        <v>28</v>
      </c>
      <c r="C366" s="124">
        <v>53418</v>
      </c>
      <c r="D366" s="133">
        <f>SUMIF('Payment Buildup'!A$4:A$34,"="&amp;'Payment Schedule'!A366,'Payment Buildup'!P$4:P$34)</f>
        <v>0</v>
      </c>
      <c r="E366" s="134">
        <f>SUMIF('Payment Buildup'!A$4:A$34,"="&amp;'Payment Schedule'!A366,'Payment Buildup'!Q$4:Q$34)</f>
        <v>0</v>
      </c>
      <c r="F366" s="134">
        <f t="shared" si="41"/>
        <v>0</v>
      </c>
      <c r="G366" s="134">
        <f t="shared" si="34"/>
        <v>-126372.56006162801</v>
      </c>
      <c r="H366" s="136">
        <f t="shared" si="42"/>
        <v>-38038140.578550026</v>
      </c>
    </row>
    <row r="367" spans="1:8" x14ac:dyDescent="0.25">
      <c r="B367" s="119">
        <f t="shared" si="40"/>
        <v>28</v>
      </c>
      <c r="C367" s="124">
        <v>53448</v>
      </c>
      <c r="D367" s="133">
        <f>SUMIF('Payment Buildup'!A$4:A$34,"="&amp;'Payment Schedule'!A367,'Payment Buildup'!P$4:P$34)</f>
        <v>0</v>
      </c>
      <c r="E367" s="134">
        <f>SUMIF('Payment Buildup'!A$4:A$34,"="&amp;'Payment Schedule'!A367,'Payment Buildup'!Q$4:Q$34)</f>
        <v>0</v>
      </c>
      <c r="F367" s="134">
        <f t="shared" si="41"/>
        <v>0</v>
      </c>
      <c r="G367" s="134">
        <f t="shared" si="34"/>
        <v>-126793.80192850009</v>
      </c>
      <c r="H367" s="136">
        <f t="shared" si="42"/>
        <v>-38164934.380478524</v>
      </c>
    </row>
    <row r="368" spans="1:8" x14ac:dyDescent="0.25">
      <c r="A368" s="119">
        <f t="shared" ref="A368:B376" si="43">A356+1</f>
        <v>28</v>
      </c>
      <c r="B368" s="119">
        <f t="shared" si="43"/>
        <v>28</v>
      </c>
      <c r="C368" s="124">
        <v>53479</v>
      </c>
      <c r="D368" s="133">
        <f>SUMIF('Payment Buildup'!A$4:A$34,"="&amp;'Payment Schedule'!A368,'Payment Buildup'!P$4:P$34)</f>
        <v>5857286.4638302373</v>
      </c>
      <c r="E368" s="134">
        <f>SUMIF('Payment Buildup'!A$4:A$34,"="&amp;'Payment Schedule'!A368,'Payment Buildup'!Q$4:Q$34)</f>
        <v>1275000.4626366117</v>
      </c>
      <c r="F368" s="134">
        <f t="shared" si="41"/>
        <v>4582286.0011936259</v>
      </c>
      <c r="G368" s="134">
        <f t="shared" si="34"/>
        <v>-127216.44793492842</v>
      </c>
      <c r="H368" s="136">
        <f t="shared" si="42"/>
        <v>-42874436.829607077</v>
      </c>
    </row>
    <row r="369" spans="1:8" x14ac:dyDescent="0.25">
      <c r="B369" s="119">
        <f t="shared" si="43"/>
        <v>28</v>
      </c>
      <c r="C369" s="124">
        <v>53509</v>
      </c>
      <c r="D369" s="133">
        <f>SUMIF('Payment Buildup'!A$4:A$34,"="&amp;'Payment Schedule'!A369,'Payment Buildup'!P$4:P$34)</f>
        <v>0</v>
      </c>
      <c r="E369" s="134">
        <f>SUMIF('Payment Buildup'!A$4:A$34,"="&amp;'Payment Schedule'!A369,'Payment Buildup'!Q$4:Q$34)</f>
        <v>0</v>
      </c>
      <c r="F369" s="134">
        <f t="shared" si="41"/>
        <v>0</v>
      </c>
      <c r="G369" s="134">
        <f t="shared" si="34"/>
        <v>-142914.78943202359</v>
      </c>
      <c r="H369" s="136">
        <f t="shared" si="42"/>
        <v>-43017351.619039103</v>
      </c>
    </row>
    <row r="370" spans="1:8" x14ac:dyDescent="0.25">
      <c r="B370" s="119">
        <f t="shared" si="43"/>
        <v>28</v>
      </c>
      <c r="C370" s="124">
        <v>53540</v>
      </c>
      <c r="D370" s="133">
        <f>SUMIF('Payment Buildup'!A$4:A$34,"="&amp;'Payment Schedule'!A370,'Payment Buildup'!P$4:P$34)</f>
        <v>0</v>
      </c>
      <c r="E370" s="134">
        <f>SUMIF('Payment Buildup'!A$4:A$34,"="&amp;'Payment Schedule'!A370,'Payment Buildup'!Q$4:Q$34)</f>
        <v>0</v>
      </c>
      <c r="F370" s="134">
        <f t="shared" si="41"/>
        <v>0</v>
      </c>
      <c r="G370" s="134">
        <f t="shared" si="34"/>
        <v>-143391.17206346369</v>
      </c>
      <c r="H370" s="136">
        <f t="shared" si="42"/>
        <v>-43160742.791102566</v>
      </c>
    </row>
    <row r="371" spans="1:8" x14ac:dyDescent="0.25">
      <c r="B371" s="119">
        <f t="shared" si="43"/>
        <v>28</v>
      </c>
      <c r="C371" s="124">
        <v>53571</v>
      </c>
      <c r="D371" s="133">
        <f>SUMIF('Payment Buildup'!A$4:A$34,"="&amp;'Payment Schedule'!A371,'Payment Buildup'!P$4:P$34)</f>
        <v>0</v>
      </c>
      <c r="E371" s="134">
        <f>SUMIF('Payment Buildup'!A$4:A$34,"="&amp;'Payment Schedule'!A371,'Payment Buildup'!Q$4:Q$34)</f>
        <v>0</v>
      </c>
      <c r="F371" s="134">
        <f t="shared" si="41"/>
        <v>0</v>
      </c>
      <c r="G371" s="134">
        <f t="shared" si="34"/>
        <v>-143869.14263700857</v>
      </c>
      <c r="H371" s="136">
        <f t="shared" si="42"/>
        <v>-43304611.933739573</v>
      </c>
    </row>
    <row r="372" spans="1:8" x14ac:dyDescent="0.25">
      <c r="B372" s="119">
        <f t="shared" si="43"/>
        <v>28</v>
      </c>
      <c r="C372" s="124">
        <v>53601</v>
      </c>
      <c r="D372" s="133">
        <f>SUMIF('Payment Buildup'!A$4:A$34,"="&amp;'Payment Schedule'!A372,'Payment Buildup'!P$4:P$34)</f>
        <v>0</v>
      </c>
      <c r="E372" s="134">
        <f>SUMIF('Payment Buildup'!A$4:A$34,"="&amp;'Payment Schedule'!A372,'Payment Buildup'!Q$4:Q$34)</f>
        <v>0</v>
      </c>
      <c r="F372" s="134">
        <f t="shared" si="41"/>
        <v>0</v>
      </c>
      <c r="G372" s="134">
        <f t="shared" si="34"/>
        <v>-144348.7064457986</v>
      </c>
      <c r="H372" s="136">
        <f t="shared" si="42"/>
        <v>-43448960.640185371</v>
      </c>
    </row>
    <row r="373" spans="1:8" x14ac:dyDescent="0.25">
      <c r="B373" s="119">
        <f t="shared" si="43"/>
        <v>28</v>
      </c>
      <c r="C373" s="124">
        <v>53632</v>
      </c>
      <c r="D373" s="133">
        <f>SUMIF('Payment Buildup'!A$4:A$34,"="&amp;'Payment Schedule'!A373,'Payment Buildup'!P$4:P$34)</f>
        <v>0</v>
      </c>
      <c r="E373" s="134">
        <f>SUMIF('Payment Buildup'!A$4:A$34,"="&amp;'Payment Schedule'!A373,'Payment Buildup'!Q$4:Q$34)</f>
        <v>0</v>
      </c>
      <c r="F373" s="134">
        <f t="shared" si="41"/>
        <v>0</v>
      </c>
      <c r="G373" s="134">
        <f t="shared" si="34"/>
        <v>-144829.8688006179</v>
      </c>
      <c r="H373" s="136">
        <f t="shared" si="42"/>
        <v>-43593790.508985989</v>
      </c>
    </row>
    <row r="374" spans="1:8" x14ac:dyDescent="0.25">
      <c r="B374" s="119">
        <f t="shared" si="43"/>
        <v>28</v>
      </c>
      <c r="C374" s="124">
        <v>53662</v>
      </c>
      <c r="D374" s="133">
        <f>SUMIF('Payment Buildup'!A$4:A$34,"="&amp;'Payment Schedule'!A374,'Payment Buildup'!P$4:P$34)</f>
        <v>0</v>
      </c>
      <c r="E374" s="134">
        <f>SUMIF('Payment Buildup'!A$4:A$34,"="&amp;'Payment Schedule'!A374,'Payment Buildup'!Q$4:Q$34)</f>
        <v>0</v>
      </c>
      <c r="F374" s="134">
        <f t="shared" si="41"/>
        <v>0</v>
      </c>
      <c r="G374" s="134">
        <f t="shared" si="34"/>
        <v>-145312.63502995329</v>
      </c>
      <c r="H374" s="136">
        <f t="shared" si="42"/>
        <v>-43739103.144015945</v>
      </c>
    </row>
    <row r="375" spans="1:8" x14ac:dyDescent="0.25">
      <c r="B375" s="119">
        <f t="shared" si="43"/>
        <v>28</v>
      </c>
      <c r="C375" s="124">
        <v>53693</v>
      </c>
      <c r="D375" s="133">
        <f>SUMIF('Payment Buildup'!A$4:A$34,"="&amp;'Payment Schedule'!A375,'Payment Buildup'!P$4:P$34)</f>
        <v>0</v>
      </c>
      <c r="E375" s="134">
        <f>SUMIF('Payment Buildup'!A$4:A$34,"="&amp;'Payment Schedule'!A375,'Payment Buildup'!Q$4:Q$34)</f>
        <v>0</v>
      </c>
      <c r="F375" s="134">
        <f t="shared" si="41"/>
        <v>0</v>
      </c>
      <c r="G375" s="134">
        <f t="shared" si="34"/>
        <v>-145797.01048005317</v>
      </c>
      <c r="H375" s="136">
        <f t="shared" si="42"/>
        <v>-43884900.154495999</v>
      </c>
    </row>
    <row r="376" spans="1:8" x14ac:dyDescent="0.25">
      <c r="B376" s="119">
        <f t="shared" si="43"/>
        <v>29</v>
      </c>
      <c r="C376" s="124">
        <v>53724</v>
      </c>
      <c r="D376" s="133">
        <f>SUMIF('Payment Buildup'!A$4:A$34,"="&amp;'Payment Schedule'!A376,'Payment Buildup'!P$4:P$34)</f>
        <v>0</v>
      </c>
      <c r="E376" s="134">
        <f>SUMIF('Payment Buildup'!A$4:A$34,"="&amp;'Payment Schedule'!A376,'Payment Buildup'!Q$4:Q$34)</f>
        <v>0</v>
      </c>
      <c r="F376" s="134">
        <f t="shared" si="41"/>
        <v>0</v>
      </c>
      <c r="G376" s="134">
        <f t="shared" si="34"/>
        <v>-146283.00051498666</v>
      </c>
      <c r="H376" s="136">
        <f t="shared" si="42"/>
        <v>-44031183.155010983</v>
      </c>
    </row>
    <row r="377" spans="1:8" x14ac:dyDescent="0.25">
      <c r="B377" s="119">
        <f t="shared" si="39"/>
        <v>29</v>
      </c>
      <c r="C377" s="124">
        <v>53752</v>
      </c>
      <c r="D377" s="133">
        <f>SUMIF('Payment Buildup'!A$4:A$34,"="&amp;'Payment Schedule'!A377,'Payment Buildup'!P$4:P$34)</f>
        <v>0</v>
      </c>
      <c r="E377" s="134">
        <f>SUMIF('Payment Buildup'!A$4:A$34,"="&amp;'Payment Schedule'!A377,'Payment Buildup'!Q$4:Q$34)</f>
        <v>0</v>
      </c>
      <c r="F377" s="134">
        <f t="shared" si="41"/>
        <v>0</v>
      </c>
      <c r="G377" s="134">
        <f t="shared" si="34"/>
        <v>-146770.61051670328</v>
      </c>
      <c r="H377" s="136">
        <f t="shared" si="42"/>
        <v>-44177953.765527688</v>
      </c>
    </row>
    <row r="378" spans="1:8" x14ac:dyDescent="0.25">
      <c r="B378" s="119">
        <f t="shared" si="39"/>
        <v>29</v>
      </c>
      <c r="C378" s="124">
        <v>53783</v>
      </c>
      <c r="D378" s="133">
        <f>SUMIF('Payment Buildup'!A$4:A$34,"="&amp;'Payment Schedule'!A378,'Payment Buildup'!P$4:P$34)</f>
        <v>0</v>
      </c>
      <c r="E378" s="134">
        <f>SUMIF('Payment Buildup'!A$4:A$34,"="&amp;'Payment Schedule'!A378,'Payment Buildup'!Q$4:Q$34)</f>
        <v>0</v>
      </c>
      <c r="F378" s="134">
        <f t="shared" si="41"/>
        <v>0</v>
      </c>
      <c r="G378" s="134">
        <f t="shared" si="34"/>
        <v>-147259.84588509231</v>
      </c>
      <c r="H378" s="136">
        <f t="shared" si="42"/>
        <v>-44325213.611412778</v>
      </c>
    </row>
    <row r="379" spans="1:8" x14ac:dyDescent="0.25">
      <c r="B379" s="119">
        <f t="shared" si="39"/>
        <v>29</v>
      </c>
      <c r="C379" s="124">
        <v>53813</v>
      </c>
      <c r="D379" s="133">
        <f>SUMIF('Payment Buildup'!A$4:A$34,"="&amp;'Payment Schedule'!A379,'Payment Buildup'!P$4:P$34)</f>
        <v>0</v>
      </c>
      <c r="E379" s="134">
        <f>SUMIF('Payment Buildup'!A$4:A$34,"="&amp;'Payment Schedule'!A379,'Payment Buildup'!Q$4:Q$34)</f>
        <v>0</v>
      </c>
      <c r="F379" s="134">
        <f t="shared" si="41"/>
        <v>0</v>
      </c>
      <c r="G379" s="134">
        <f t="shared" si="34"/>
        <v>-147750.71203804261</v>
      </c>
      <c r="H379" s="136">
        <f t="shared" si="42"/>
        <v>-44472964.323450819</v>
      </c>
    </row>
    <row r="380" spans="1:8" x14ac:dyDescent="0.25">
      <c r="A380" s="119">
        <f t="shared" ref="A380:B391" si="44">A368+1</f>
        <v>29</v>
      </c>
      <c r="B380" s="119">
        <f t="shared" si="44"/>
        <v>29</v>
      </c>
      <c r="C380" s="124">
        <v>53844</v>
      </c>
      <c r="D380" s="133">
        <f>SUMIF('Payment Buildup'!A$4:A$34,"="&amp;'Payment Schedule'!A380,'Payment Buildup'!P$4:P$34)</f>
        <v>6033005.0577451447</v>
      </c>
      <c r="E380" s="134">
        <f>SUMIF('Payment Buildup'!A$4:A$34,"="&amp;'Payment Schedule'!A380,'Payment Buildup'!Q$4:Q$34)</f>
        <v>1313250.4765157104</v>
      </c>
      <c r="F380" s="134">
        <f t="shared" si="41"/>
        <v>4719754.5812294343</v>
      </c>
      <c r="G380" s="134">
        <f t="shared" si="34"/>
        <v>-148243.21441150273</v>
      </c>
      <c r="H380" s="136">
        <f t="shared" si="42"/>
        <v>-49340962.119091757</v>
      </c>
    </row>
    <row r="381" spans="1:8" x14ac:dyDescent="0.25">
      <c r="B381" s="119">
        <f t="shared" si="44"/>
        <v>29</v>
      </c>
      <c r="C381" s="124">
        <v>53874</v>
      </c>
      <c r="D381" s="133">
        <f>SUMIF('Payment Buildup'!A$4:A$34,"="&amp;'Payment Schedule'!A381,'Payment Buildup'!P$4:P$34)</f>
        <v>0</v>
      </c>
      <c r="E381" s="134">
        <f>SUMIF('Payment Buildup'!A$4:A$34,"="&amp;'Payment Schedule'!A381,'Payment Buildup'!Q$4:Q$34)</f>
        <v>0</v>
      </c>
      <c r="F381" s="134">
        <f t="shared" si="41"/>
        <v>0</v>
      </c>
      <c r="G381" s="134">
        <f t="shared" si="34"/>
        <v>-164469.87373030587</v>
      </c>
      <c r="H381" s="136">
        <f t="shared" si="42"/>
        <v>-49505431.992822066</v>
      </c>
    </row>
    <row r="382" spans="1:8" x14ac:dyDescent="0.25">
      <c r="B382" s="119">
        <f t="shared" si="44"/>
        <v>29</v>
      </c>
      <c r="C382" s="124">
        <v>53905</v>
      </c>
      <c r="D382" s="133">
        <f>SUMIF('Payment Buildup'!A$4:A$34,"="&amp;'Payment Schedule'!A382,'Payment Buildup'!P$4:P$34)</f>
        <v>0</v>
      </c>
      <c r="E382" s="134">
        <f>SUMIF('Payment Buildup'!A$4:A$34,"="&amp;'Payment Schedule'!A382,'Payment Buildup'!Q$4:Q$34)</f>
        <v>0</v>
      </c>
      <c r="F382" s="134">
        <f t="shared" si="41"/>
        <v>0</v>
      </c>
      <c r="G382" s="134">
        <f t="shared" si="34"/>
        <v>-165018.10664274023</v>
      </c>
      <c r="H382" s="136">
        <f t="shared" si="42"/>
        <v>-49670450.099464804</v>
      </c>
    </row>
    <row r="383" spans="1:8" x14ac:dyDescent="0.25">
      <c r="B383" s="119">
        <f t="shared" si="44"/>
        <v>29</v>
      </c>
      <c r="C383" s="124">
        <v>53936</v>
      </c>
      <c r="D383" s="133">
        <f>SUMIF('Payment Buildup'!A$4:A$34,"="&amp;'Payment Schedule'!A383,'Payment Buildup'!P$4:P$34)</f>
        <v>0</v>
      </c>
      <c r="E383" s="134">
        <f>SUMIF('Payment Buildup'!A$4:A$34,"="&amp;'Payment Schedule'!A383,'Payment Buildup'!Q$4:Q$34)</f>
        <v>0</v>
      </c>
      <c r="F383" s="134">
        <f t="shared" si="41"/>
        <v>0</v>
      </c>
      <c r="G383" s="134">
        <f t="shared" si="34"/>
        <v>-165568.16699821601</v>
      </c>
      <c r="H383" s="136">
        <f t="shared" si="42"/>
        <v>-49836018.266463019</v>
      </c>
    </row>
    <row r="384" spans="1:8" x14ac:dyDescent="0.25">
      <c r="B384" s="119">
        <f t="shared" si="44"/>
        <v>29</v>
      </c>
      <c r="C384" s="124">
        <v>53966</v>
      </c>
      <c r="D384" s="133">
        <f>SUMIF('Payment Buildup'!A$4:A$34,"="&amp;'Payment Schedule'!A384,'Payment Buildup'!P$4:P$34)</f>
        <v>0</v>
      </c>
      <c r="E384" s="134">
        <f>SUMIF('Payment Buildup'!A$4:A$34,"="&amp;'Payment Schedule'!A384,'Payment Buildup'!Q$4:Q$34)</f>
        <v>0</v>
      </c>
      <c r="F384" s="134">
        <f t="shared" si="41"/>
        <v>0</v>
      </c>
      <c r="G384" s="134">
        <f t="shared" si="34"/>
        <v>-166120.06088821008</v>
      </c>
      <c r="H384" s="136">
        <f t="shared" si="42"/>
        <v>-50002138.327351227</v>
      </c>
    </row>
    <row r="385" spans="1:8" x14ac:dyDescent="0.25">
      <c r="B385" s="119">
        <f t="shared" si="44"/>
        <v>29</v>
      </c>
      <c r="C385" s="124">
        <v>53997</v>
      </c>
      <c r="D385" s="133">
        <f>SUMIF('Payment Buildup'!A$4:A$34,"="&amp;'Payment Schedule'!A385,'Payment Buildup'!P$4:P$34)</f>
        <v>0</v>
      </c>
      <c r="E385" s="134">
        <f>SUMIF('Payment Buildup'!A$4:A$34,"="&amp;'Payment Schedule'!A385,'Payment Buildup'!Q$4:Q$34)</f>
        <v>0</v>
      </c>
      <c r="F385" s="134">
        <f t="shared" si="41"/>
        <v>0</v>
      </c>
      <c r="G385" s="134">
        <f t="shared" si="34"/>
        <v>-166673.7944245041</v>
      </c>
      <c r="H385" s="136">
        <f t="shared" si="42"/>
        <v>-50168812.121775731</v>
      </c>
    </row>
    <row r="386" spans="1:8" x14ac:dyDescent="0.25">
      <c r="B386" s="119">
        <f t="shared" si="44"/>
        <v>29</v>
      </c>
      <c r="C386" s="124">
        <v>54027</v>
      </c>
      <c r="D386" s="133">
        <f>SUMIF('Payment Buildup'!A$4:A$34,"="&amp;'Payment Schedule'!A386,'Payment Buildup'!P$4:P$34)</f>
        <v>0</v>
      </c>
      <c r="E386" s="134">
        <f>SUMIF('Payment Buildup'!A$4:A$34,"="&amp;'Payment Schedule'!A386,'Payment Buildup'!Q$4:Q$34)</f>
        <v>0</v>
      </c>
      <c r="F386" s="134">
        <f t="shared" si="41"/>
        <v>0</v>
      </c>
      <c r="G386" s="134">
        <f t="shared" si="34"/>
        <v>-167229.37373925245</v>
      </c>
      <c r="H386" s="136">
        <f t="shared" si="42"/>
        <v>-50336041.495514981</v>
      </c>
    </row>
    <row r="387" spans="1:8" x14ac:dyDescent="0.25">
      <c r="B387" s="119">
        <f t="shared" si="44"/>
        <v>29</v>
      </c>
      <c r="C387" s="124">
        <v>54058</v>
      </c>
      <c r="D387" s="133">
        <f>SUMIF('Payment Buildup'!A$4:A$34,"="&amp;'Payment Schedule'!A387,'Payment Buildup'!P$4:P$34)</f>
        <v>0</v>
      </c>
      <c r="E387" s="134">
        <f>SUMIF('Payment Buildup'!A$4:A$34,"="&amp;'Payment Schedule'!A387,'Payment Buildup'!Q$4:Q$34)</f>
        <v>0</v>
      </c>
      <c r="F387" s="134">
        <f t="shared" si="41"/>
        <v>0</v>
      </c>
      <c r="G387" s="134">
        <f t="shared" si="34"/>
        <v>-167786.80498504994</v>
      </c>
      <c r="H387" s="136">
        <f t="shared" si="42"/>
        <v>-50503828.300500028</v>
      </c>
    </row>
    <row r="388" spans="1:8" x14ac:dyDescent="0.25">
      <c r="B388" s="119">
        <f t="shared" si="44"/>
        <v>30</v>
      </c>
      <c r="C388" s="124">
        <v>54089</v>
      </c>
      <c r="D388" s="133">
        <f>SUMIF('Payment Buildup'!A$4:A$34,"="&amp;'Payment Schedule'!A388,'Payment Buildup'!P$4:P$34)</f>
        <v>0</v>
      </c>
      <c r="E388" s="134">
        <f>SUMIF('Payment Buildup'!A$4:A$34,"="&amp;'Payment Schedule'!A388,'Payment Buildup'!Q$4:Q$34)</f>
        <v>0</v>
      </c>
      <c r="F388" s="134">
        <f t="shared" si="41"/>
        <v>0</v>
      </c>
      <c r="G388" s="134">
        <f t="shared" si="34"/>
        <v>-168346.09433500012</v>
      </c>
      <c r="H388" s="136">
        <f t="shared" si="42"/>
        <v>-50672174.394835025</v>
      </c>
    </row>
    <row r="389" spans="1:8" x14ac:dyDescent="0.25">
      <c r="B389" s="119">
        <f t="shared" si="44"/>
        <v>30</v>
      </c>
      <c r="C389" s="124">
        <v>54118</v>
      </c>
      <c r="D389" s="133">
        <f>SUMIF('Payment Buildup'!A$4:A$34,"="&amp;'Payment Schedule'!A389,'Payment Buildup'!P$4:P$34)</f>
        <v>0</v>
      </c>
      <c r="E389" s="134">
        <f>SUMIF('Payment Buildup'!A$4:A$34,"="&amp;'Payment Schedule'!A389,'Payment Buildup'!Q$4:Q$34)</f>
        <v>0</v>
      </c>
      <c r="F389" s="134">
        <f t="shared" si="41"/>
        <v>0</v>
      </c>
      <c r="G389" s="134">
        <f t="shared" si="34"/>
        <v>-168907.24798278342</v>
      </c>
      <c r="H389" s="136">
        <f t="shared" si="42"/>
        <v>-50841081.64281781</v>
      </c>
    </row>
    <row r="390" spans="1:8" x14ac:dyDescent="0.25">
      <c r="B390" s="119">
        <f t="shared" si="44"/>
        <v>30</v>
      </c>
      <c r="C390" s="124">
        <v>54149</v>
      </c>
      <c r="D390" s="133">
        <f>SUMIF('Payment Buildup'!A$4:A$34,"="&amp;'Payment Schedule'!A390,'Payment Buildup'!P$4:P$34)</f>
        <v>0</v>
      </c>
      <c r="E390" s="134">
        <f>SUMIF('Payment Buildup'!A$4:A$34,"="&amp;'Payment Schedule'!A390,'Payment Buildup'!Q$4:Q$34)</f>
        <v>0</v>
      </c>
      <c r="F390" s="134">
        <f t="shared" si="41"/>
        <v>0</v>
      </c>
      <c r="G390" s="134">
        <f t="shared" si="34"/>
        <v>-169470.27214272605</v>
      </c>
      <c r="H390" s="136">
        <f t="shared" si="42"/>
        <v>-51010551.914960533</v>
      </c>
    </row>
    <row r="391" spans="1:8" x14ac:dyDescent="0.25">
      <c r="B391" s="119">
        <f t="shared" si="44"/>
        <v>30</v>
      </c>
      <c r="C391" s="124">
        <v>54179</v>
      </c>
      <c r="D391" s="133">
        <f>SUMIF('Payment Buildup'!A$4:A$34,"="&amp;'Payment Schedule'!A391,'Payment Buildup'!P$4:P$34)</f>
        <v>0</v>
      </c>
      <c r="E391" s="134">
        <f>SUMIF('Payment Buildup'!A$4:A$34,"="&amp;'Payment Schedule'!A391,'Payment Buildup'!Q$4:Q$34)</f>
        <v>0</v>
      </c>
      <c r="F391" s="134">
        <f t="shared" si="41"/>
        <v>0</v>
      </c>
      <c r="G391" s="134">
        <f t="shared" si="34"/>
        <v>-170035.17304986846</v>
      </c>
      <c r="H391" s="136">
        <f t="shared" si="42"/>
        <v>-51180587.088010401</v>
      </c>
    </row>
    <row r="392" spans="1:8" x14ac:dyDescent="0.25">
      <c r="A392" s="119">
        <f t="shared" ref="A392:B400" si="45">A380+1</f>
        <v>30</v>
      </c>
      <c r="B392" s="119">
        <f t="shared" si="45"/>
        <v>30</v>
      </c>
      <c r="C392" s="124">
        <v>54210</v>
      </c>
      <c r="D392" s="133">
        <f>SUMIF('Payment Buildup'!A$4:A$34,"="&amp;'Payment Schedule'!A392,'Payment Buildup'!P$4:P$34)</f>
        <v>6213995.2094774982</v>
      </c>
      <c r="E392" s="134">
        <f>SUMIF('Payment Buildup'!A$4:A$34,"="&amp;'Payment Schedule'!A392,'Payment Buildup'!Q$4:Q$34)</f>
        <v>1352647.9908111813</v>
      </c>
      <c r="F392" s="134">
        <f t="shared" si="41"/>
        <v>4861347.2186663169</v>
      </c>
      <c r="G392" s="134">
        <f t="shared" si="34"/>
        <v>-170601.95696003467</v>
      </c>
      <c r="H392" s="136">
        <f t="shared" si="42"/>
        <v>-56212536.263636753</v>
      </c>
    </row>
    <row r="393" spans="1:8" x14ac:dyDescent="0.25">
      <c r="B393" s="119">
        <f t="shared" si="45"/>
        <v>30</v>
      </c>
      <c r="C393" s="124">
        <v>54240</v>
      </c>
      <c r="D393" s="133">
        <f>SUMIF('Payment Buildup'!A$4:A$34,"="&amp;'Payment Schedule'!A393,'Payment Buildup'!P$4:P$34)</f>
        <v>0</v>
      </c>
      <c r="E393" s="134">
        <f>SUMIF('Payment Buildup'!A$4:A$34,"="&amp;'Payment Schedule'!A393,'Payment Buildup'!Q$4:Q$34)</f>
        <v>0</v>
      </c>
      <c r="F393" s="134">
        <f t="shared" si="41"/>
        <v>0</v>
      </c>
      <c r="G393" s="134">
        <f t="shared" si="34"/>
        <v>-187375.1208787892</v>
      </c>
      <c r="H393" s="136">
        <f t="shared" si="42"/>
        <v>-56399911.384515539</v>
      </c>
    </row>
    <row r="394" spans="1:8" x14ac:dyDescent="0.25">
      <c r="B394" s="119">
        <f t="shared" si="45"/>
        <v>30</v>
      </c>
      <c r="C394" s="124">
        <v>54271</v>
      </c>
      <c r="D394" s="133">
        <f>SUMIF('Payment Buildup'!A$4:A$34,"="&amp;'Payment Schedule'!A394,'Payment Buildup'!P$4:P$34)</f>
        <v>0</v>
      </c>
      <c r="E394" s="134">
        <f>SUMIF('Payment Buildup'!A$4:A$34,"="&amp;'Payment Schedule'!A394,'Payment Buildup'!Q$4:Q$34)</f>
        <v>0</v>
      </c>
      <c r="F394" s="134">
        <f t="shared" si="41"/>
        <v>0</v>
      </c>
      <c r="G394" s="134">
        <f t="shared" ref="G394:G457" si="46">H393*(C$6/12)</f>
        <v>-187999.7046150518</v>
      </c>
      <c r="H394" s="136">
        <f t="shared" si="42"/>
        <v>-56587911.089130588</v>
      </c>
    </row>
    <row r="395" spans="1:8" x14ac:dyDescent="0.25">
      <c r="B395" s="119">
        <f t="shared" si="45"/>
        <v>30</v>
      </c>
      <c r="C395" s="124">
        <v>54302</v>
      </c>
      <c r="D395" s="133">
        <f>SUMIF('Payment Buildup'!A$4:A$34,"="&amp;'Payment Schedule'!A395,'Payment Buildup'!P$4:P$34)</f>
        <v>0</v>
      </c>
      <c r="E395" s="134">
        <f>SUMIF('Payment Buildup'!A$4:A$34,"="&amp;'Payment Schedule'!A395,'Payment Buildup'!Q$4:Q$34)</f>
        <v>0</v>
      </c>
      <c r="F395" s="134">
        <f t="shared" si="41"/>
        <v>0</v>
      </c>
      <c r="G395" s="134">
        <f t="shared" si="46"/>
        <v>-188626.37029710197</v>
      </c>
      <c r="H395" s="136">
        <f t="shared" si="42"/>
        <v>-56776537.459427692</v>
      </c>
    </row>
    <row r="396" spans="1:8" x14ac:dyDescent="0.25">
      <c r="B396" s="119">
        <f t="shared" si="45"/>
        <v>30</v>
      </c>
      <c r="C396" s="124">
        <v>54332</v>
      </c>
      <c r="D396" s="133">
        <f>SUMIF('Payment Buildup'!A$4:A$34,"="&amp;'Payment Schedule'!A396,'Payment Buildup'!P$4:P$34)</f>
        <v>0</v>
      </c>
      <c r="E396" s="134">
        <f>SUMIF('Payment Buildup'!A$4:A$34,"="&amp;'Payment Schedule'!A396,'Payment Buildup'!Q$4:Q$34)</f>
        <v>0</v>
      </c>
      <c r="F396" s="134">
        <f t="shared" si="41"/>
        <v>0</v>
      </c>
      <c r="G396" s="134">
        <f t="shared" si="46"/>
        <v>-189255.12486475898</v>
      </c>
      <c r="H396" s="136">
        <f t="shared" si="42"/>
        <v>-56965792.584292449</v>
      </c>
    </row>
    <row r="397" spans="1:8" x14ac:dyDescent="0.25">
      <c r="B397" s="119">
        <f t="shared" si="45"/>
        <v>30</v>
      </c>
      <c r="C397" s="124">
        <v>54363</v>
      </c>
      <c r="D397" s="133">
        <f>SUMIF('Payment Buildup'!A$4:A$34,"="&amp;'Payment Schedule'!A397,'Payment Buildup'!P$4:P$34)</f>
        <v>0</v>
      </c>
      <c r="E397" s="134">
        <f>SUMIF('Payment Buildup'!A$4:A$34,"="&amp;'Payment Schedule'!A397,'Payment Buildup'!Q$4:Q$34)</f>
        <v>0</v>
      </c>
      <c r="F397" s="134">
        <f t="shared" si="41"/>
        <v>0</v>
      </c>
      <c r="G397" s="134">
        <f t="shared" si="46"/>
        <v>-189885.97528097485</v>
      </c>
      <c r="H397" s="136">
        <f t="shared" si="42"/>
        <v>-57155678.559573427</v>
      </c>
    </row>
    <row r="398" spans="1:8" x14ac:dyDescent="0.25">
      <c r="B398" s="119">
        <f t="shared" si="45"/>
        <v>30</v>
      </c>
      <c r="C398" s="124">
        <v>54393</v>
      </c>
      <c r="D398" s="133">
        <f>SUMIF('Payment Buildup'!A$4:A$34,"="&amp;'Payment Schedule'!A398,'Payment Buildup'!P$4:P$34)</f>
        <v>0</v>
      </c>
      <c r="E398" s="134">
        <f>SUMIF('Payment Buildup'!A$4:A$34,"="&amp;'Payment Schedule'!A398,'Payment Buildup'!Q$4:Q$34)</f>
        <v>0</v>
      </c>
      <c r="F398" s="134">
        <f t="shared" si="41"/>
        <v>0</v>
      </c>
      <c r="G398" s="134">
        <f t="shared" si="46"/>
        <v>-190518.92853191143</v>
      </c>
      <c r="H398" s="136">
        <f t="shared" si="42"/>
        <v>-57346197.488105342</v>
      </c>
    </row>
    <row r="399" spans="1:8" x14ac:dyDescent="0.25">
      <c r="B399" s="119">
        <f t="shared" si="45"/>
        <v>30</v>
      </c>
      <c r="C399" s="124">
        <v>54424</v>
      </c>
      <c r="D399" s="133">
        <f>SUMIF('Payment Buildup'!A$4:A$34,"="&amp;'Payment Schedule'!A399,'Payment Buildup'!P$4:P$34)</f>
        <v>0</v>
      </c>
      <c r="E399" s="134">
        <f>SUMIF('Payment Buildup'!A$4:A$34,"="&amp;'Payment Schedule'!A399,'Payment Buildup'!Q$4:Q$34)</f>
        <v>0</v>
      </c>
      <c r="F399" s="134">
        <f t="shared" si="41"/>
        <v>0</v>
      </c>
      <c r="G399" s="134">
        <f t="shared" si="46"/>
        <v>-191153.99162701782</v>
      </c>
      <c r="H399" s="136">
        <f t="shared" si="42"/>
        <v>-57537351.479732357</v>
      </c>
    </row>
    <row r="400" spans="1:8" x14ac:dyDescent="0.25">
      <c r="B400" s="119">
        <f t="shared" si="45"/>
        <v>31</v>
      </c>
      <c r="C400" s="124">
        <v>54455</v>
      </c>
      <c r="D400" s="133">
        <f>SUMIF('Payment Buildup'!A$4:A$34,"="&amp;'Payment Schedule'!A400,'Payment Buildup'!P$4:P$34)</f>
        <v>0</v>
      </c>
      <c r="E400" s="134">
        <f>SUMIF('Payment Buildup'!A$4:A$34,"="&amp;'Payment Schedule'!A400,'Payment Buildup'!Q$4:Q$34)</f>
        <v>0</v>
      </c>
      <c r="F400" s="134">
        <f t="shared" si="41"/>
        <v>0</v>
      </c>
      <c r="G400" s="134">
        <f t="shared" si="46"/>
        <v>-191791.17159910788</v>
      </c>
      <c r="H400" s="136">
        <f t="shared" si="42"/>
        <v>-57729142.651331462</v>
      </c>
    </row>
    <row r="401" spans="1:8" x14ac:dyDescent="0.25">
      <c r="B401" s="119">
        <f t="shared" si="39"/>
        <v>31</v>
      </c>
      <c r="C401" s="124">
        <v>54483</v>
      </c>
      <c r="D401" s="133">
        <f>SUMIF('Payment Buildup'!A$4:A$34,"="&amp;'Payment Schedule'!A401,'Payment Buildup'!P$4:P$34)</f>
        <v>0</v>
      </c>
      <c r="E401" s="134">
        <f>SUMIF('Payment Buildup'!A$4:A$34,"="&amp;'Payment Schedule'!A401,'Payment Buildup'!Q$4:Q$34)</f>
        <v>0</v>
      </c>
      <c r="F401" s="134">
        <f t="shared" si="41"/>
        <v>0</v>
      </c>
      <c r="G401" s="134">
        <f t="shared" si="46"/>
        <v>-192430.47550443822</v>
      </c>
      <c r="H401" s="136">
        <f t="shared" si="42"/>
        <v>-57921573.126835898</v>
      </c>
    </row>
    <row r="402" spans="1:8" x14ac:dyDescent="0.25">
      <c r="B402" s="119">
        <f t="shared" si="39"/>
        <v>31</v>
      </c>
      <c r="C402" s="124">
        <v>54514</v>
      </c>
      <c r="D402" s="133">
        <f>SUMIF('Payment Buildup'!A$4:A$34,"="&amp;'Payment Schedule'!A402,'Payment Buildup'!P$4:P$34)</f>
        <v>0</v>
      </c>
      <c r="E402" s="134">
        <f>SUMIF('Payment Buildup'!A$4:A$34,"="&amp;'Payment Schedule'!A402,'Payment Buildup'!Q$4:Q$34)</f>
        <v>0</v>
      </c>
      <c r="F402" s="134">
        <f t="shared" si="41"/>
        <v>0</v>
      </c>
      <c r="G402" s="134">
        <f t="shared" si="46"/>
        <v>-193071.91042278634</v>
      </c>
      <c r="H402" s="136">
        <f t="shared" si="42"/>
        <v>-58114645.037258685</v>
      </c>
    </row>
    <row r="403" spans="1:8" x14ac:dyDescent="0.25">
      <c r="B403" s="119">
        <f t="shared" si="39"/>
        <v>31</v>
      </c>
      <c r="C403" s="124">
        <v>54544</v>
      </c>
      <c r="D403" s="133">
        <f>SUMIF('Payment Buildup'!A$4:A$34,"="&amp;'Payment Schedule'!A403,'Payment Buildup'!P$4:P$34)</f>
        <v>0</v>
      </c>
      <c r="E403" s="134">
        <f>SUMIF('Payment Buildup'!A$4:A$34,"="&amp;'Payment Schedule'!A403,'Payment Buildup'!Q$4:Q$34)</f>
        <v>0</v>
      </c>
      <c r="F403" s="134">
        <f t="shared" si="41"/>
        <v>0</v>
      </c>
      <c r="G403" s="134">
        <f t="shared" si="46"/>
        <v>-193715.48345752896</v>
      </c>
      <c r="H403" s="136">
        <f t="shared" si="42"/>
        <v>-58308360.520716213</v>
      </c>
    </row>
    <row r="404" spans="1:8" x14ac:dyDescent="0.25">
      <c r="A404" s="119">
        <f t="shared" ref="A404:B415" si="47">A392+1</f>
        <v>31</v>
      </c>
      <c r="B404" s="119">
        <f t="shared" si="47"/>
        <v>31</v>
      </c>
      <c r="C404" s="124">
        <v>54575</v>
      </c>
      <c r="D404" s="133">
        <f>SUMIF('Payment Buildup'!A$4:A$34,"="&amp;'Payment Schedule'!A404,'Payment Buildup'!P$4:P$34)</f>
        <v>0</v>
      </c>
      <c r="E404" s="134">
        <f>SUMIF('Payment Buildup'!A$4:A$34,"="&amp;'Payment Schedule'!A404,'Payment Buildup'!Q$4:Q$34)</f>
        <v>0</v>
      </c>
      <c r="F404" s="134">
        <f t="shared" si="41"/>
        <v>0</v>
      </c>
      <c r="G404" s="134">
        <f t="shared" si="46"/>
        <v>-194361.20173572071</v>
      </c>
      <c r="H404" s="136">
        <f t="shared" si="42"/>
        <v>-58502721.722451933</v>
      </c>
    </row>
    <row r="405" spans="1:8" x14ac:dyDescent="0.25">
      <c r="B405" s="119">
        <f t="shared" si="47"/>
        <v>31</v>
      </c>
      <c r="C405" s="124">
        <v>54605</v>
      </c>
      <c r="D405" s="133">
        <f>SUMIF('Payment Buildup'!A$4:A$34,"="&amp;'Payment Schedule'!A405,'Payment Buildup'!P$4:P$34)</f>
        <v>0</v>
      </c>
      <c r="E405" s="134">
        <f>SUMIF('Payment Buildup'!A$4:A$34,"="&amp;'Payment Schedule'!A405,'Payment Buildup'!Q$4:Q$34)</f>
        <v>0</v>
      </c>
      <c r="F405" s="134">
        <f t="shared" si="41"/>
        <v>0</v>
      </c>
      <c r="G405" s="134">
        <f t="shared" si="46"/>
        <v>-195009.07240817312</v>
      </c>
      <c r="H405" s="136">
        <f t="shared" si="42"/>
        <v>-58697730.794860102</v>
      </c>
    </row>
    <row r="406" spans="1:8" x14ac:dyDescent="0.25">
      <c r="B406" s="119">
        <f t="shared" si="47"/>
        <v>31</v>
      </c>
      <c r="C406" s="124">
        <v>54636</v>
      </c>
      <c r="D406" s="133">
        <f>SUMIF('Payment Buildup'!A$4:A$34,"="&amp;'Payment Schedule'!A406,'Payment Buildup'!P$4:P$34)</f>
        <v>0</v>
      </c>
      <c r="E406" s="134">
        <f>SUMIF('Payment Buildup'!A$4:A$34,"="&amp;'Payment Schedule'!A406,'Payment Buildup'!Q$4:Q$34)</f>
        <v>0</v>
      </c>
      <c r="F406" s="134">
        <f t="shared" si="41"/>
        <v>0</v>
      </c>
      <c r="G406" s="134">
        <f t="shared" si="46"/>
        <v>-195659.10264953368</v>
      </c>
      <c r="H406" s="136">
        <f t="shared" si="42"/>
        <v>-58893389.897509634</v>
      </c>
    </row>
    <row r="407" spans="1:8" x14ac:dyDescent="0.25">
      <c r="B407" s="119">
        <f t="shared" si="47"/>
        <v>31</v>
      </c>
      <c r="C407" s="124">
        <v>54667</v>
      </c>
      <c r="D407" s="133">
        <f>SUMIF('Payment Buildup'!A$4:A$34,"="&amp;'Payment Schedule'!A407,'Payment Buildup'!P$4:P$34)</f>
        <v>0</v>
      </c>
      <c r="E407" s="134">
        <f>SUMIF('Payment Buildup'!A$4:A$34,"="&amp;'Payment Schedule'!A407,'Payment Buildup'!Q$4:Q$34)</f>
        <v>0</v>
      </c>
      <c r="F407" s="134">
        <f t="shared" si="41"/>
        <v>0</v>
      </c>
      <c r="G407" s="134">
        <f t="shared" si="46"/>
        <v>-196311.29965836546</v>
      </c>
      <c r="H407" s="136">
        <f t="shared" si="42"/>
        <v>-59089701.197168</v>
      </c>
    </row>
    <row r="408" spans="1:8" x14ac:dyDescent="0.25">
      <c r="B408" s="119">
        <f t="shared" si="47"/>
        <v>31</v>
      </c>
      <c r="C408" s="124">
        <v>54697</v>
      </c>
      <c r="D408" s="133">
        <f>SUMIF('Payment Buildup'!A$4:A$34,"="&amp;'Payment Schedule'!A408,'Payment Buildup'!P$4:P$34)</f>
        <v>0</v>
      </c>
      <c r="E408" s="134">
        <f>SUMIF('Payment Buildup'!A$4:A$34,"="&amp;'Payment Schedule'!A408,'Payment Buildup'!Q$4:Q$34)</f>
        <v>0</v>
      </c>
      <c r="F408" s="134">
        <f t="shared" si="41"/>
        <v>0</v>
      </c>
      <c r="G408" s="134">
        <f t="shared" si="46"/>
        <v>-196965.67065722667</v>
      </c>
      <c r="H408" s="136">
        <f t="shared" si="42"/>
        <v>-59286666.867825225</v>
      </c>
    </row>
    <row r="409" spans="1:8" x14ac:dyDescent="0.25">
      <c r="B409" s="119">
        <f t="shared" si="47"/>
        <v>31</v>
      </c>
      <c r="C409" s="124">
        <v>54728</v>
      </c>
      <c r="D409" s="133">
        <f>SUMIF('Payment Buildup'!A$4:A$34,"="&amp;'Payment Schedule'!A409,'Payment Buildup'!P$4:P$34)</f>
        <v>0</v>
      </c>
      <c r="E409" s="134">
        <f>SUMIF('Payment Buildup'!A$4:A$34,"="&amp;'Payment Schedule'!A409,'Payment Buildup'!Q$4:Q$34)</f>
        <v>0</v>
      </c>
      <c r="F409" s="134">
        <f t="shared" si="41"/>
        <v>0</v>
      </c>
      <c r="G409" s="134">
        <f t="shared" si="46"/>
        <v>-197622.22289275075</v>
      </c>
      <c r="H409" s="136">
        <f t="shared" si="42"/>
        <v>-59484289.090717979</v>
      </c>
    </row>
    <row r="410" spans="1:8" x14ac:dyDescent="0.25">
      <c r="B410" s="119">
        <f t="shared" si="47"/>
        <v>31</v>
      </c>
      <c r="C410" s="124">
        <v>54758</v>
      </c>
      <c r="D410" s="133">
        <f>SUMIF('Payment Buildup'!A$4:A$34,"="&amp;'Payment Schedule'!A410,'Payment Buildup'!P$4:P$34)</f>
        <v>0</v>
      </c>
      <c r="E410" s="134">
        <f>SUMIF('Payment Buildup'!A$4:A$34,"="&amp;'Payment Schedule'!A410,'Payment Buildup'!Q$4:Q$34)</f>
        <v>0</v>
      </c>
      <c r="F410" s="134">
        <f t="shared" si="41"/>
        <v>0</v>
      </c>
      <c r="G410" s="134">
        <f t="shared" si="46"/>
        <v>-198280.9636357266</v>
      </c>
      <c r="H410" s="136">
        <f t="shared" si="42"/>
        <v>-59682570.054353707</v>
      </c>
    </row>
    <row r="411" spans="1:8" x14ac:dyDescent="0.25">
      <c r="B411" s="119">
        <f t="shared" si="47"/>
        <v>31</v>
      </c>
      <c r="C411" s="124">
        <v>54789</v>
      </c>
      <c r="D411" s="133">
        <f>SUMIF('Payment Buildup'!A$4:A$34,"="&amp;'Payment Schedule'!A411,'Payment Buildup'!P$4:P$34)</f>
        <v>0</v>
      </c>
      <c r="E411" s="134">
        <f>SUMIF('Payment Buildup'!A$4:A$34,"="&amp;'Payment Schedule'!A411,'Payment Buildup'!Q$4:Q$34)</f>
        <v>0</v>
      </c>
      <c r="F411" s="134">
        <f t="shared" si="41"/>
        <v>0</v>
      </c>
      <c r="G411" s="134">
        <f t="shared" si="46"/>
        <v>-198941.90018117902</v>
      </c>
      <c r="H411" s="136">
        <f t="shared" si="42"/>
        <v>-59881511.954534888</v>
      </c>
    </row>
    <row r="412" spans="1:8" x14ac:dyDescent="0.25">
      <c r="B412" s="119">
        <f t="shared" si="47"/>
        <v>32</v>
      </c>
      <c r="C412" s="124">
        <v>54820</v>
      </c>
      <c r="D412" s="133">
        <f>SUMIF('Payment Buildup'!A$4:A$34,"="&amp;'Payment Schedule'!A412,'Payment Buildup'!P$4:P$34)</f>
        <v>0</v>
      </c>
      <c r="E412" s="134">
        <f>SUMIF('Payment Buildup'!A$4:A$34,"="&amp;'Payment Schedule'!A412,'Payment Buildup'!Q$4:Q$34)</f>
        <v>0</v>
      </c>
      <c r="F412" s="134">
        <f t="shared" si="41"/>
        <v>0</v>
      </c>
      <c r="G412" s="134">
        <f t="shared" si="46"/>
        <v>-199605.03984844964</v>
      </c>
      <c r="H412" s="136">
        <f t="shared" si="42"/>
        <v>-60081116.994383335</v>
      </c>
    </row>
    <row r="413" spans="1:8" x14ac:dyDescent="0.25">
      <c r="B413" s="119">
        <f t="shared" si="47"/>
        <v>32</v>
      </c>
      <c r="C413" s="124">
        <v>54848</v>
      </c>
      <c r="D413" s="133">
        <f>SUMIF('Payment Buildup'!A$4:A$34,"="&amp;'Payment Schedule'!A413,'Payment Buildup'!P$4:P$34)</f>
        <v>0</v>
      </c>
      <c r="E413" s="134">
        <f>SUMIF('Payment Buildup'!A$4:A$34,"="&amp;'Payment Schedule'!A413,'Payment Buildup'!Q$4:Q$34)</f>
        <v>0</v>
      </c>
      <c r="F413" s="134">
        <f t="shared" si="41"/>
        <v>0</v>
      </c>
      <c r="G413" s="134">
        <f t="shared" si="46"/>
        <v>-200270.38998127781</v>
      </c>
      <c r="H413" s="136">
        <f t="shared" si="42"/>
        <v>-60281387.384364612</v>
      </c>
    </row>
    <row r="414" spans="1:8" x14ac:dyDescent="0.25">
      <c r="B414" s="119">
        <f t="shared" si="47"/>
        <v>32</v>
      </c>
      <c r="C414" s="124">
        <v>54879</v>
      </c>
      <c r="D414" s="133">
        <f>SUMIF('Payment Buildup'!A$4:A$34,"="&amp;'Payment Schedule'!A414,'Payment Buildup'!P$4:P$34)</f>
        <v>0</v>
      </c>
      <c r="E414" s="134">
        <f>SUMIF('Payment Buildup'!A$4:A$34,"="&amp;'Payment Schedule'!A414,'Payment Buildup'!Q$4:Q$34)</f>
        <v>0</v>
      </c>
      <c r="F414" s="134">
        <f t="shared" si="41"/>
        <v>0</v>
      </c>
      <c r="G414" s="134">
        <f t="shared" si="46"/>
        <v>-200937.95794788207</v>
      </c>
      <c r="H414" s="136">
        <f t="shared" si="42"/>
        <v>-60482325.342312492</v>
      </c>
    </row>
    <row r="415" spans="1:8" x14ac:dyDescent="0.25">
      <c r="B415" s="119">
        <f t="shared" si="47"/>
        <v>32</v>
      </c>
      <c r="C415" s="124">
        <v>54909</v>
      </c>
      <c r="D415" s="133">
        <f>SUMIF('Payment Buildup'!A$4:A$34,"="&amp;'Payment Schedule'!A415,'Payment Buildup'!P$4:P$34)</f>
        <v>0</v>
      </c>
      <c r="E415" s="134">
        <f>SUMIF('Payment Buildup'!A$4:A$34,"="&amp;'Payment Schedule'!A415,'Payment Buildup'!Q$4:Q$34)</f>
        <v>0</v>
      </c>
      <c r="F415" s="134">
        <f t="shared" si="41"/>
        <v>0</v>
      </c>
      <c r="G415" s="134">
        <f t="shared" si="46"/>
        <v>-201607.75114104166</v>
      </c>
      <c r="H415" s="136">
        <f t="shared" si="42"/>
        <v>-60683933.093453534</v>
      </c>
    </row>
    <row r="416" spans="1:8" x14ac:dyDescent="0.25">
      <c r="A416" s="119">
        <f t="shared" ref="A416:B427" si="48">A404+1</f>
        <v>32</v>
      </c>
      <c r="B416" s="119">
        <f t="shared" si="48"/>
        <v>32</v>
      </c>
      <c r="C416" s="124">
        <v>54940</v>
      </c>
      <c r="D416" s="133">
        <f>SUMIF('Payment Buildup'!A$4:A$34,"="&amp;'Payment Schedule'!A416,'Payment Buildup'!P$4:P$34)</f>
        <v>0</v>
      </c>
      <c r="E416" s="134">
        <f>SUMIF('Payment Buildup'!A$4:A$34,"="&amp;'Payment Schedule'!A416,'Payment Buildup'!Q$4:Q$34)</f>
        <v>0</v>
      </c>
      <c r="F416" s="134">
        <f t="shared" si="41"/>
        <v>0</v>
      </c>
      <c r="G416" s="134">
        <f t="shared" si="46"/>
        <v>-202279.77697817847</v>
      </c>
      <c r="H416" s="136">
        <f t="shared" si="42"/>
        <v>-60886212.870431714</v>
      </c>
    </row>
    <row r="417" spans="1:8" x14ac:dyDescent="0.25">
      <c r="B417" s="119">
        <f t="shared" si="48"/>
        <v>32</v>
      </c>
      <c r="C417" s="124">
        <v>54970</v>
      </c>
      <c r="D417" s="133">
        <f>SUMIF('Payment Buildup'!A$4:A$34,"="&amp;'Payment Schedule'!A417,'Payment Buildup'!P$4:P$34)</f>
        <v>0</v>
      </c>
      <c r="E417" s="134">
        <f>SUMIF('Payment Buildup'!A$4:A$34,"="&amp;'Payment Schedule'!A417,'Payment Buildup'!Q$4:Q$34)</f>
        <v>0</v>
      </c>
      <c r="F417" s="134">
        <f t="shared" si="41"/>
        <v>0</v>
      </c>
      <c r="G417" s="134">
        <f t="shared" si="46"/>
        <v>-202954.04290143907</v>
      </c>
      <c r="H417" s="136">
        <f t="shared" si="42"/>
        <v>-61089166.913333155</v>
      </c>
    </row>
    <row r="418" spans="1:8" x14ac:dyDescent="0.25">
      <c r="B418" s="119">
        <f t="shared" si="48"/>
        <v>32</v>
      </c>
      <c r="C418" s="124">
        <v>55001</v>
      </c>
      <c r="D418" s="133">
        <f>SUMIF('Payment Buildup'!A$4:A$34,"="&amp;'Payment Schedule'!A418,'Payment Buildup'!P$4:P$34)</f>
        <v>0</v>
      </c>
      <c r="E418" s="134">
        <f>SUMIF('Payment Buildup'!A$4:A$34,"="&amp;'Payment Schedule'!A418,'Payment Buildup'!Q$4:Q$34)</f>
        <v>0</v>
      </c>
      <c r="F418" s="134">
        <f t="shared" si="41"/>
        <v>0</v>
      </c>
      <c r="G418" s="134">
        <f t="shared" si="46"/>
        <v>-203630.55637777719</v>
      </c>
      <c r="H418" s="136">
        <f t="shared" si="42"/>
        <v>-61292797.469710931</v>
      </c>
    </row>
    <row r="419" spans="1:8" x14ac:dyDescent="0.25">
      <c r="B419" s="119">
        <f t="shared" si="48"/>
        <v>32</v>
      </c>
      <c r="C419" s="124">
        <v>55032</v>
      </c>
      <c r="D419" s="133">
        <f>SUMIF('Payment Buildup'!A$4:A$34,"="&amp;'Payment Schedule'!A419,'Payment Buildup'!P$4:P$34)</f>
        <v>0</v>
      </c>
      <c r="E419" s="134">
        <f>SUMIF('Payment Buildup'!A$4:A$34,"="&amp;'Payment Schedule'!A419,'Payment Buildup'!Q$4:Q$34)</f>
        <v>0</v>
      </c>
      <c r="F419" s="134">
        <f t="shared" si="41"/>
        <v>0</v>
      </c>
      <c r="G419" s="134">
        <f t="shared" si="46"/>
        <v>-204309.32489903644</v>
      </c>
      <c r="H419" s="136">
        <f t="shared" si="42"/>
        <v>-61497106.794609964</v>
      </c>
    </row>
    <row r="420" spans="1:8" x14ac:dyDescent="0.25">
      <c r="B420" s="119">
        <f t="shared" si="48"/>
        <v>32</v>
      </c>
      <c r="C420" s="124">
        <v>55062</v>
      </c>
      <c r="D420" s="133">
        <f>SUMIF('Payment Buildup'!A$4:A$34,"="&amp;'Payment Schedule'!A420,'Payment Buildup'!P$4:P$34)</f>
        <v>0</v>
      </c>
      <c r="E420" s="134">
        <f>SUMIF('Payment Buildup'!A$4:A$34,"="&amp;'Payment Schedule'!A420,'Payment Buildup'!Q$4:Q$34)</f>
        <v>0</v>
      </c>
      <c r="F420" s="134">
        <f t="shared" si="41"/>
        <v>0</v>
      </c>
      <c r="G420" s="134">
        <f t="shared" si="46"/>
        <v>-204990.35598203322</v>
      </c>
      <c r="H420" s="136">
        <f t="shared" si="42"/>
        <v>-61702097.150591999</v>
      </c>
    </row>
    <row r="421" spans="1:8" x14ac:dyDescent="0.25">
      <c r="B421" s="119">
        <f t="shared" si="48"/>
        <v>32</v>
      </c>
      <c r="C421" s="124">
        <v>55093</v>
      </c>
      <c r="D421" s="133">
        <f>SUMIF('Payment Buildup'!A$4:A$34,"="&amp;'Payment Schedule'!A421,'Payment Buildup'!P$4:P$34)</f>
        <v>0</v>
      </c>
      <c r="E421" s="134">
        <f>SUMIF('Payment Buildup'!A$4:A$34,"="&amp;'Payment Schedule'!A421,'Payment Buildup'!Q$4:Q$34)</f>
        <v>0</v>
      </c>
      <c r="F421" s="134">
        <f t="shared" si="41"/>
        <v>0</v>
      </c>
      <c r="G421" s="134">
        <f t="shared" si="46"/>
        <v>-205673.65716864</v>
      </c>
      <c r="H421" s="136">
        <f t="shared" si="42"/>
        <v>-61907770.807760641</v>
      </c>
    </row>
    <row r="422" spans="1:8" x14ac:dyDescent="0.25">
      <c r="B422" s="119">
        <f t="shared" si="48"/>
        <v>32</v>
      </c>
      <c r="C422" s="124">
        <v>55123</v>
      </c>
      <c r="D422" s="133">
        <f>SUMIF('Payment Buildup'!A$4:A$34,"="&amp;'Payment Schedule'!A422,'Payment Buildup'!P$4:P$34)</f>
        <v>0</v>
      </c>
      <c r="E422" s="134">
        <f>SUMIF('Payment Buildup'!A$4:A$34,"="&amp;'Payment Schedule'!A422,'Payment Buildup'!Q$4:Q$34)</f>
        <v>0</v>
      </c>
      <c r="F422" s="134">
        <f t="shared" si="41"/>
        <v>0</v>
      </c>
      <c r="G422" s="134">
        <f t="shared" si="46"/>
        <v>-206359.23602586883</v>
      </c>
      <c r="H422" s="136">
        <f t="shared" si="42"/>
        <v>-62114130.043786511</v>
      </c>
    </row>
    <row r="423" spans="1:8" x14ac:dyDescent="0.25">
      <c r="B423" s="119">
        <f t="shared" si="48"/>
        <v>32</v>
      </c>
      <c r="C423" s="124">
        <v>55154</v>
      </c>
      <c r="D423" s="133">
        <f>SUMIF('Payment Buildup'!A$4:A$34,"="&amp;'Payment Schedule'!A423,'Payment Buildup'!P$4:P$34)</f>
        <v>0</v>
      </c>
      <c r="E423" s="134">
        <f>SUMIF('Payment Buildup'!A$4:A$34,"="&amp;'Payment Schedule'!A423,'Payment Buildup'!Q$4:Q$34)</f>
        <v>0</v>
      </c>
      <c r="F423" s="134">
        <f t="shared" si="41"/>
        <v>0</v>
      </c>
      <c r="G423" s="134">
        <f t="shared" si="46"/>
        <v>-207047.10014595505</v>
      </c>
      <c r="H423" s="136">
        <f t="shared" si="42"/>
        <v>-62321177.143932469</v>
      </c>
    </row>
    <row r="424" spans="1:8" x14ac:dyDescent="0.25">
      <c r="B424" s="119">
        <f t="shared" si="48"/>
        <v>33</v>
      </c>
      <c r="C424" s="124">
        <v>55185</v>
      </c>
      <c r="D424" s="133">
        <f>SUMIF('Payment Buildup'!A$4:A$34,"="&amp;'Payment Schedule'!A424,'Payment Buildup'!P$4:P$34)</f>
        <v>0</v>
      </c>
      <c r="E424" s="134">
        <f>SUMIF('Payment Buildup'!A$4:A$34,"="&amp;'Payment Schedule'!A424,'Payment Buildup'!Q$4:Q$34)</f>
        <v>0</v>
      </c>
      <c r="F424" s="134">
        <f t="shared" ref="F424:F459" si="49">D424-E424</f>
        <v>0</v>
      </c>
      <c r="G424" s="134">
        <f t="shared" si="46"/>
        <v>-207737.25714644158</v>
      </c>
      <c r="H424" s="136">
        <f t="shared" ref="H424:H459" si="50">H423+G424-F424</f>
        <v>-62528914.40107891</v>
      </c>
    </row>
    <row r="425" spans="1:8" x14ac:dyDescent="0.25">
      <c r="B425" s="119">
        <f t="shared" si="48"/>
        <v>33</v>
      </c>
      <c r="C425" s="124">
        <v>55213</v>
      </c>
      <c r="D425" s="133">
        <f>SUMIF('Payment Buildup'!A$4:A$34,"="&amp;'Payment Schedule'!A425,'Payment Buildup'!P$4:P$34)</f>
        <v>0</v>
      </c>
      <c r="E425" s="134">
        <f>SUMIF('Payment Buildup'!A$4:A$34,"="&amp;'Payment Schedule'!A425,'Payment Buildup'!Q$4:Q$34)</f>
        <v>0</v>
      </c>
      <c r="F425" s="134">
        <f t="shared" si="49"/>
        <v>0</v>
      </c>
      <c r="G425" s="134">
        <f t="shared" si="46"/>
        <v>-208429.71467026306</v>
      </c>
      <c r="H425" s="136">
        <f t="shared" si="50"/>
        <v>-62737344.115749173</v>
      </c>
    </row>
    <row r="426" spans="1:8" x14ac:dyDescent="0.25">
      <c r="B426" s="119">
        <f t="shared" si="48"/>
        <v>33</v>
      </c>
      <c r="C426" s="124">
        <v>55244</v>
      </c>
      <c r="D426" s="133">
        <f>SUMIF('Payment Buildup'!A$4:A$34,"="&amp;'Payment Schedule'!A426,'Payment Buildup'!P$4:P$34)</f>
        <v>0</v>
      </c>
      <c r="E426" s="134">
        <f>SUMIF('Payment Buildup'!A$4:A$34,"="&amp;'Payment Schedule'!A426,'Payment Buildup'!Q$4:Q$34)</f>
        <v>0</v>
      </c>
      <c r="F426" s="134">
        <f t="shared" si="49"/>
        <v>0</v>
      </c>
      <c r="G426" s="134">
        <f t="shared" si="46"/>
        <v>-209124.4803858306</v>
      </c>
      <c r="H426" s="136">
        <f t="shared" si="50"/>
        <v>-62946468.596135005</v>
      </c>
    </row>
    <row r="427" spans="1:8" x14ac:dyDescent="0.25">
      <c r="B427" s="119">
        <f t="shared" si="48"/>
        <v>33</v>
      </c>
      <c r="C427" s="124">
        <v>55274</v>
      </c>
      <c r="D427" s="133">
        <f>SUMIF('Payment Buildup'!A$4:A$34,"="&amp;'Payment Schedule'!A427,'Payment Buildup'!P$4:P$34)</f>
        <v>0</v>
      </c>
      <c r="E427" s="134">
        <f>SUMIF('Payment Buildup'!A$4:A$34,"="&amp;'Payment Schedule'!A427,'Payment Buildup'!Q$4:Q$34)</f>
        <v>0</v>
      </c>
      <c r="F427" s="134">
        <f t="shared" si="49"/>
        <v>0</v>
      </c>
      <c r="G427" s="134">
        <f t="shared" si="46"/>
        <v>-209821.5619871167</v>
      </c>
      <c r="H427" s="136">
        <f t="shared" si="50"/>
        <v>-63156290.158122122</v>
      </c>
    </row>
    <row r="428" spans="1:8" x14ac:dyDescent="0.25">
      <c r="A428" s="119">
        <f t="shared" ref="A428:B439" si="51">A416+1</f>
        <v>33</v>
      </c>
      <c r="B428" s="119">
        <f t="shared" si="51"/>
        <v>33</v>
      </c>
      <c r="C428" s="124">
        <v>55305</v>
      </c>
      <c r="D428" s="133">
        <f>SUMIF('Payment Buildup'!A$4:A$34,"="&amp;'Payment Schedule'!A428,'Payment Buildup'!P$4:P$34)</f>
        <v>0</v>
      </c>
      <c r="E428" s="134">
        <f>SUMIF('Payment Buildup'!A$4:A$34,"="&amp;'Payment Schedule'!A428,'Payment Buildup'!Q$4:Q$34)</f>
        <v>0</v>
      </c>
      <c r="F428" s="134">
        <f t="shared" si="49"/>
        <v>0</v>
      </c>
      <c r="G428" s="134">
        <f t="shared" si="46"/>
        <v>-210520.96719374042</v>
      </c>
      <c r="H428" s="136">
        <f t="shared" si="50"/>
        <v>-63366811.12531586</v>
      </c>
    </row>
    <row r="429" spans="1:8" x14ac:dyDescent="0.25">
      <c r="B429" s="119">
        <f t="shared" si="51"/>
        <v>33</v>
      </c>
      <c r="C429" s="124">
        <v>55335</v>
      </c>
      <c r="D429" s="133">
        <f>SUMIF('Payment Buildup'!A$4:A$34,"="&amp;'Payment Schedule'!A429,'Payment Buildup'!P$4:P$34)</f>
        <v>0</v>
      </c>
      <c r="E429" s="134">
        <f>SUMIF('Payment Buildup'!A$4:A$34,"="&amp;'Payment Schedule'!A429,'Payment Buildup'!Q$4:Q$34)</f>
        <v>0</v>
      </c>
      <c r="F429" s="134">
        <f t="shared" si="49"/>
        <v>0</v>
      </c>
      <c r="G429" s="134">
        <f t="shared" si="46"/>
        <v>-211222.70375105288</v>
      </c>
      <c r="H429" s="136">
        <f t="shared" si="50"/>
        <v>-63578033.82906691</v>
      </c>
    </row>
    <row r="430" spans="1:8" x14ac:dyDescent="0.25">
      <c r="B430" s="119">
        <f t="shared" si="51"/>
        <v>33</v>
      </c>
      <c r="C430" s="124">
        <v>55366</v>
      </c>
      <c r="D430" s="133">
        <f>SUMIF('Payment Buildup'!A$4:A$34,"="&amp;'Payment Schedule'!A430,'Payment Buildup'!P$4:P$34)</f>
        <v>0</v>
      </c>
      <c r="E430" s="134">
        <f>SUMIF('Payment Buildup'!A$4:A$34,"="&amp;'Payment Schedule'!A430,'Payment Buildup'!Q$4:Q$34)</f>
        <v>0</v>
      </c>
      <c r="F430" s="134">
        <f t="shared" si="49"/>
        <v>0</v>
      </c>
      <c r="G430" s="134">
        <f t="shared" si="46"/>
        <v>-211926.77943022305</v>
      </c>
      <c r="H430" s="136">
        <f t="shared" si="50"/>
        <v>-63789960.608497135</v>
      </c>
    </row>
    <row r="431" spans="1:8" x14ac:dyDescent="0.25">
      <c r="B431" s="119">
        <f t="shared" si="51"/>
        <v>33</v>
      </c>
      <c r="C431" s="124">
        <v>55397</v>
      </c>
      <c r="D431" s="133">
        <f>SUMIF('Payment Buildup'!A$4:A$34,"="&amp;'Payment Schedule'!A431,'Payment Buildup'!P$4:P$34)</f>
        <v>0</v>
      </c>
      <c r="E431" s="134">
        <f>SUMIF('Payment Buildup'!A$4:A$34,"="&amp;'Payment Schedule'!A431,'Payment Buildup'!Q$4:Q$34)</f>
        <v>0</v>
      </c>
      <c r="F431" s="134">
        <f t="shared" si="49"/>
        <v>0</v>
      </c>
      <c r="G431" s="134">
        <f t="shared" si="46"/>
        <v>-212633.20202832381</v>
      </c>
      <c r="H431" s="136">
        <f t="shared" si="50"/>
        <v>-64002593.810525462</v>
      </c>
    </row>
    <row r="432" spans="1:8" x14ac:dyDescent="0.25">
      <c r="B432" s="119">
        <f t="shared" si="51"/>
        <v>33</v>
      </c>
      <c r="C432" s="124">
        <v>55427</v>
      </c>
      <c r="D432" s="133">
        <f>SUMIF('Payment Buildup'!A$4:A$34,"="&amp;'Payment Schedule'!A432,'Payment Buildup'!P$4:P$34)</f>
        <v>0</v>
      </c>
      <c r="E432" s="134">
        <f>SUMIF('Payment Buildup'!A$4:A$34,"="&amp;'Payment Schedule'!A432,'Payment Buildup'!Q$4:Q$34)</f>
        <v>0</v>
      </c>
      <c r="F432" s="134">
        <f t="shared" si="49"/>
        <v>0</v>
      </c>
      <c r="G432" s="134">
        <f t="shared" si="46"/>
        <v>-213341.97936841822</v>
      </c>
      <c r="H432" s="136">
        <f t="shared" si="50"/>
        <v>-64215935.78989388</v>
      </c>
    </row>
    <row r="433" spans="1:8" x14ac:dyDescent="0.25">
      <c r="B433" s="119">
        <f t="shared" si="51"/>
        <v>33</v>
      </c>
      <c r="C433" s="124">
        <v>55458</v>
      </c>
      <c r="D433" s="133">
        <f>SUMIF('Payment Buildup'!A$4:A$34,"="&amp;'Payment Schedule'!A433,'Payment Buildup'!P$4:P$34)</f>
        <v>0</v>
      </c>
      <c r="E433" s="134">
        <f>SUMIF('Payment Buildup'!A$4:A$34,"="&amp;'Payment Schedule'!A433,'Payment Buildup'!Q$4:Q$34)</f>
        <v>0</v>
      </c>
      <c r="F433" s="134">
        <f t="shared" si="49"/>
        <v>0</v>
      </c>
      <c r="G433" s="134">
        <f t="shared" si="46"/>
        <v>-214053.11929964629</v>
      </c>
      <c r="H433" s="136">
        <f t="shared" si="50"/>
        <v>-64429988.909193523</v>
      </c>
    </row>
    <row r="434" spans="1:8" x14ac:dyDescent="0.25">
      <c r="B434" s="119">
        <f t="shared" si="51"/>
        <v>33</v>
      </c>
      <c r="C434" s="124">
        <v>55488</v>
      </c>
      <c r="D434" s="133">
        <f>SUMIF('Payment Buildup'!A$4:A$34,"="&amp;'Payment Schedule'!A434,'Payment Buildup'!P$4:P$34)</f>
        <v>0</v>
      </c>
      <c r="E434" s="134">
        <f>SUMIF('Payment Buildup'!A$4:A$34,"="&amp;'Payment Schedule'!A434,'Payment Buildup'!Q$4:Q$34)</f>
        <v>0</v>
      </c>
      <c r="F434" s="134">
        <f t="shared" si="49"/>
        <v>0</v>
      </c>
      <c r="G434" s="134">
        <f t="shared" si="46"/>
        <v>-214766.62969731176</v>
      </c>
      <c r="H434" s="136">
        <f t="shared" si="50"/>
        <v>-64644755.538890839</v>
      </c>
    </row>
    <row r="435" spans="1:8" x14ac:dyDescent="0.25">
      <c r="B435" s="119">
        <f t="shared" si="51"/>
        <v>33</v>
      </c>
      <c r="C435" s="124">
        <v>55519</v>
      </c>
      <c r="D435" s="133">
        <f>SUMIF('Payment Buildup'!A$4:A$34,"="&amp;'Payment Schedule'!A435,'Payment Buildup'!P$4:P$34)</f>
        <v>0</v>
      </c>
      <c r="E435" s="134">
        <f>SUMIF('Payment Buildup'!A$4:A$34,"="&amp;'Payment Schedule'!A435,'Payment Buildup'!Q$4:Q$34)</f>
        <v>0</v>
      </c>
      <c r="F435" s="134">
        <f t="shared" si="49"/>
        <v>0</v>
      </c>
      <c r="G435" s="134">
        <f t="shared" si="46"/>
        <v>-215482.51846296948</v>
      </c>
      <c r="H435" s="136">
        <f t="shared" si="50"/>
        <v>-64860238.057353809</v>
      </c>
    </row>
    <row r="436" spans="1:8" x14ac:dyDescent="0.25">
      <c r="B436" s="119">
        <f t="shared" si="51"/>
        <v>34</v>
      </c>
      <c r="C436" s="124">
        <v>55550</v>
      </c>
      <c r="D436" s="133">
        <f>SUMIF('Payment Buildup'!A$4:A$34,"="&amp;'Payment Schedule'!A436,'Payment Buildup'!P$4:P$34)</f>
        <v>0</v>
      </c>
      <c r="E436" s="134">
        <f>SUMIF('Payment Buildup'!A$4:A$34,"="&amp;'Payment Schedule'!A436,'Payment Buildup'!Q$4:Q$34)</f>
        <v>0</v>
      </c>
      <c r="F436" s="134">
        <f t="shared" si="49"/>
        <v>0</v>
      </c>
      <c r="G436" s="134">
        <f t="shared" si="46"/>
        <v>-216200.7935245127</v>
      </c>
      <c r="H436" s="136">
        <f t="shared" si="50"/>
        <v>-65076438.850878321</v>
      </c>
    </row>
    <row r="437" spans="1:8" x14ac:dyDescent="0.25">
      <c r="B437" s="119">
        <f t="shared" si="51"/>
        <v>34</v>
      </c>
      <c r="C437" s="124">
        <v>55579</v>
      </c>
      <c r="D437" s="133">
        <f>SUMIF('Payment Buildup'!A$4:A$34,"="&amp;'Payment Schedule'!A437,'Payment Buildup'!P$4:P$34)</f>
        <v>0</v>
      </c>
      <c r="E437" s="134">
        <f>SUMIF('Payment Buildup'!A$4:A$34,"="&amp;'Payment Schedule'!A437,'Payment Buildup'!Q$4:Q$34)</f>
        <v>0</v>
      </c>
      <c r="F437" s="134">
        <f t="shared" si="49"/>
        <v>0</v>
      </c>
      <c r="G437" s="134">
        <f t="shared" si="46"/>
        <v>-216921.46283626108</v>
      </c>
      <c r="H437" s="136">
        <f t="shared" si="50"/>
        <v>-65293360.313714579</v>
      </c>
    </row>
    <row r="438" spans="1:8" x14ac:dyDescent="0.25">
      <c r="B438" s="119">
        <f t="shared" si="51"/>
        <v>34</v>
      </c>
      <c r="C438" s="124">
        <v>55610</v>
      </c>
      <c r="D438" s="133">
        <f>SUMIF('Payment Buildup'!A$4:A$34,"="&amp;'Payment Schedule'!A438,'Payment Buildup'!P$4:P$34)</f>
        <v>0</v>
      </c>
      <c r="E438" s="134">
        <f>SUMIF('Payment Buildup'!A$4:A$34,"="&amp;'Payment Schedule'!A438,'Payment Buildup'!Q$4:Q$34)</f>
        <v>0</v>
      </c>
      <c r="F438" s="134">
        <f t="shared" si="49"/>
        <v>0</v>
      </c>
      <c r="G438" s="134">
        <f t="shared" si="46"/>
        <v>-217644.53437904862</v>
      </c>
      <c r="H438" s="136">
        <f t="shared" si="50"/>
        <v>-65511004.848093629</v>
      </c>
    </row>
    <row r="439" spans="1:8" x14ac:dyDescent="0.25">
      <c r="B439" s="119">
        <f t="shared" si="51"/>
        <v>34</v>
      </c>
      <c r="C439" s="124">
        <v>55640</v>
      </c>
      <c r="D439" s="133">
        <f>SUMIF('Payment Buildup'!A$4:A$34,"="&amp;'Payment Schedule'!A439,'Payment Buildup'!P$4:P$34)</f>
        <v>0</v>
      </c>
      <c r="E439" s="134">
        <f>SUMIF('Payment Buildup'!A$4:A$34,"="&amp;'Payment Schedule'!A439,'Payment Buildup'!Q$4:Q$34)</f>
        <v>0</v>
      </c>
      <c r="F439" s="134">
        <f t="shared" si="49"/>
        <v>0</v>
      </c>
      <c r="G439" s="134">
        <f t="shared" si="46"/>
        <v>-218370.01616031211</v>
      </c>
      <c r="H439" s="136">
        <f t="shared" si="50"/>
        <v>-65729374.864253938</v>
      </c>
    </row>
    <row r="440" spans="1:8" x14ac:dyDescent="0.25">
      <c r="A440" s="119">
        <f t="shared" ref="A440:B451" si="52">A428+1</f>
        <v>34</v>
      </c>
      <c r="B440" s="119">
        <f t="shared" si="52"/>
        <v>34</v>
      </c>
      <c r="C440" s="124">
        <v>55671</v>
      </c>
      <c r="D440" s="133">
        <f>SUMIF('Payment Buildup'!A$4:A$34,"="&amp;'Payment Schedule'!A440,'Payment Buildup'!P$4:P$34)</f>
        <v>0</v>
      </c>
      <c r="E440" s="134">
        <f>SUMIF('Payment Buildup'!A$4:A$34,"="&amp;'Payment Schedule'!A440,'Payment Buildup'!Q$4:Q$34)</f>
        <v>0</v>
      </c>
      <c r="F440" s="134">
        <f t="shared" si="49"/>
        <v>0</v>
      </c>
      <c r="G440" s="134">
        <f t="shared" si="46"/>
        <v>-219097.9162141798</v>
      </c>
      <c r="H440" s="136">
        <f t="shared" si="50"/>
        <v>-65948472.780468121</v>
      </c>
    </row>
    <row r="441" spans="1:8" x14ac:dyDescent="0.25">
      <c r="B441" s="119">
        <f t="shared" si="52"/>
        <v>34</v>
      </c>
      <c r="C441" s="124">
        <v>55701</v>
      </c>
      <c r="D441" s="133">
        <f>SUMIF('Payment Buildup'!A$4:A$34,"="&amp;'Payment Schedule'!A441,'Payment Buildup'!P$4:P$34)</f>
        <v>0</v>
      </c>
      <c r="E441" s="134">
        <f>SUMIF('Payment Buildup'!A$4:A$34,"="&amp;'Payment Schedule'!A441,'Payment Buildup'!Q$4:Q$34)</f>
        <v>0</v>
      </c>
      <c r="F441" s="134">
        <f t="shared" si="49"/>
        <v>0</v>
      </c>
      <c r="G441" s="134">
        <f t="shared" si="46"/>
        <v>-219828.24260156043</v>
      </c>
      <c r="H441" s="136">
        <f t="shared" si="50"/>
        <v>-66168301.02306968</v>
      </c>
    </row>
    <row r="442" spans="1:8" x14ac:dyDescent="0.25">
      <c r="B442" s="119">
        <f t="shared" si="52"/>
        <v>34</v>
      </c>
      <c r="C442" s="124">
        <v>55732</v>
      </c>
      <c r="D442" s="133">
        <f>SUMIF('Payment Buildup'!A$4:A$34,"="&amp;'Payment Schedule'!A442,'Payment Buildup'!P$4:P$34)</f>
        <v>0</v>
      </c>
      <c r="E442" s="134">
        <f>SUMIF('Payment Buildup'!A$4:A$34,"="&amp;'Payment Schedule'!A442,'Payment Buildup'!Q$4:Q$34)</f>
        <v>0</v>
      </c>
      <c r="F442" s="134">
        <f t="shared" si="49"/>
        <v>0</v>
      </c>
      <c r="G442" s="134">
        <f t="shared" si="46"/>
        <v>-220561.00341023228</v>
      </c>
      <c r="H442" s="136">
        <f t="shared" si="50"/>
        <v>-66388862.026479915</v>
      </c>
    </row>
    <row r="443" spans="1:8" x14ac:dyDescent="0.25">
      <c r="B443" s="119">
        <f t="shared" si="52"/>
        <v>34</v>
      </c>
      <c r="C443" s="124">
        <v>55763</v>
      </c>
      <c r="D443" s="133">
        <f>SUMIF('Payment Buildup'!A$4:A$34,"="&amp;'Payment Schedule'!A443,'Payment Buildup'!P$4:P$34)</f>
        <v>0</v>
      </c>
      <c r="E443" s="134">
        <f>SUMIF('Payment Buildup'!A$4:A$34,"="&amp;'Payment Schedule'!A443,'Payment Buildup'!Q$4:Q$34)</f>
        <v>0</v>
      </c>
      <c r="F443" s="134">
        <f t="shared" si="49"/>
        <v>0</v>
      </c>
      <c r="G443" s="134">
        <f t="shared" si="46"/>
        <v>-221296.20675493305</v>
      </c>
      <c r="H443" s="136">
        <f t="shared" si="50"/>
        <v>-66610158.233234845</v>
      </c>
    </row>
    <row r="444" spans="1:8" x14ac:dyDescent="0.25">
      <c r="B444" s="119">
        <f t="shared" si="52"/>
        <v>34</v>
      </c>
      <c r="C444" s="124">
        <v>55793</v>
      </c>
      <c r="D444" s="133">
        <f>SUMIF('Payment Buildup'!A$4:A$34,"="&amp;'Payment Schedule'!A444,'Payment Buildup'!P$4:P$34)</f>
        <v>0</v>
      </c>
      <c r="E444" s="134">
        <f>SUMIF('Payment Buildup'!A$4:A$34,"="&amp;'Payment Schedule'!A444,'Payment Buildup'!Q$4:Q$34)</f>
        <v>0</v>
      </c>
      <c r="F444" s="134">
        <f t="shared" si="49"/>
        <v>0</v>
      </c>
      <c r="G444" s="134">
        <f t="shared" si="46"/>
        <v>-222033.8607774495</v>
      </c>
      <c r="H444" s="136">
        <f t="shared" si="50"/>
        <v>-66832192.094012298</v>
      </c>
    </row>
    <row r="445" spans="1:8" x14ac:dyDescent="0.25">
      <c r="B445" s="119">
        <f t="shared" si="52"/>
        <v>34</v>
      </c>
      <c r="C445" s="124">
        <v>55824</v>
      </c>
      <c r="D445" s="133">
        <f>SUMIF('Payment Buildup'!A$4:A$34,"="&amp;'Payment Schedule'!A445,'Payment Buildup'!P$4:P$34)</f>
        <v>0</v>
      </c>
      <c r="E445" s="134">
        <f>SUMIF('Payment Buildup'!A$4:A$34,"="&amp;'Payment Schedule'!A445,'Payment Buildup'!Q$4:Q$34)</f>
        <v>0</v>
      </c>
      <c r="F445" s="134">
        <f t="shared" si="49"/>
        <v>0</v>
      </c>
      <c r="G445" s="134">
        <f t="shared" si="46"/>
        <v>-222773.97364670769</v>
      </c>
      <c r="H445" s="136">
        <f t="shared" si="50"/>
        <v>-67054966.067659006</v>
      </c>
    </row>
    <row r="446" spans="1:8" x14ac:dyDescent="0.25">
      <c r="B446" s="119">
        <f t="shared" si="52"/>
        <v>34</v>
      </c>
      <c r="C446" s="124">
        <v>55854</v>
      </c>
      <c r="D446" s="133">
        <f>SUMIF('Payment Buildup'!A$4:A$34,"="&amp;'Payment Schedule'!A446,'Payment Buildup'!P$4:P$34)</f>
        <v>0</v>
      </c>
      <c r="E446" s="134">
        <f>SUMIF('Payment Buildup'!A$4:A$34,"="&amp;'Payment Schedule'!A446,'Payment Buildup'!Q$4:Q$34)</f>
        <v>0</v>
      </c>
      <c r="F446" s="134">
        <f t="shared" si="49"/>
        <v>0</v>
      </c>
      <c r="G446" s="134">
        <f t="shared" si="46"/>
        <v>-223516.55355886338</v>
      </c>
      <c r="H446" s="136">
        <f t="shared" si="50"/>
        <v>-67278482.621217862</v>
      </c>
    </row>
    <row r="447" spans="1:8" x14ac:dyDescent="0.25">
      <c r="B447" s="119">
        <f t="shared" si="52"/>
        <v>34</v>
      </c>
      <c r="C447" s="124">
        <v>55885</v>
      </c>
      <c r="D447" s="133">
        <f>SUMIF('Payment Buildup'!A$4:A$34,"="&amp;'Payment Schedule'!A447,'Payment Buildup'!P$4:P$34)</f>
        <v>0</v>
      </c>
      <c r="E447" s="134">
        <f>SUMIF('Payment Buildup'!A$4:A$34,"="&amp;'Payment Schedule'!A447,'Payment Buildup'!Q$4:Q$34)</f>
        <v>0</v>
      </c>
      <c r="F447" s="134">
        <f t="shared" si="49"/>
        <v>0</v>
      </c>
      <c r="G447" s="134">
        <f t="shared" si="46"/>
        <v>-224261.60873739287</v>
      </c>
      <c r="H447" s="136">
        <f t="shared" si="50"/>
        <v>-67502744.229955256</v>
      </c>
    </row>
    <row r="448" spans="1:8" x14ac:dyDescent="0.25">
      <c r="B448" s="119">
        <f t="shared" si="52"/>
        <v>35</v>
      </c>
      <c r="C448" s="124">
        <v>55916</v>
      </c>
      <c r="D448" s="133">
        <f>SUMIF('Payment Buildup'!A$4:A$34,"="&amp;'Payment Schedule'!A448,'Payment Buildup'!P$4:P$34)</f>
        <v>0</v>
      </c>
      <c r="E448" s="134">
        <f>SUMIF('Payment Buildup'!A$4:A$34,"="&amp;'Payment Schedule'!A448,'Payment Buildup'!Q$4:Q$34)</f>
        <v>0</v>
      </c>
      <c r="F448" s="134">
        <f t="shared" si="49"/>
        <v>0</v>
      </c>
      <c r="G448" s="134">
        <f t="shared" si="46"/>
        <v>-225009.1474331842</v>
      </c>
      <c r="H448" s="136">
        <f t="shared" si="50"/>
        <v>-67727753.377388448</v>
      </c>
    </row>
    <row r="449" spans="1:8" x14ac:dyDescent="0.25">
      <c r="B449" s="119">
        <f t="shared" si="52"/>
        <v>35</v>
      </c>
      <c r="C449" s="124">
        <v>55944</v>
      </c>
      <c r="D449" s="133">
        <f>SUMIF('Payment Buildup'!A$4:A$34,"="&amp;'Payment Schedule'!A449,'Payment Buildup'!P$4:P$34)</f>
        <v>0</v>
      </c>
      <c r="E449" s="134">
        <f>SUMIF('Payment Buildup'!A$4:A$34,"="&amp;'Payment Schedule'!A449,'Payment Buildup'!Q$4:Q$34)</f>
        <v>0</v>
      </c>
      <c r="F449" s="134">
        <f t="shared" si="49"/>
        <v>0</v>
      </c>
      <c r="G449" s="134">
        <f t="shared" si="46"/>
        <v>-225759.17792462817</v>
      </c>
      <c r="H449" s="136">
        <f t="shared" si="50"/>
        <v>-67953512.555313081</v>
      </c>
    </row>
    <row r="450" spans="1:8" x14ac:dyDescent="0.25">
      <c r="B450" s="119">
        <f t="shared" si="52"/>
        <v>35</v>
      </c>
      <c r="C450" s="124">
        <v>55975</v>
      </c>
      <c r="D450" s="133">
        <f>SUMIF('Payment Buildup'!A$4:A$34,"="&amp;'Payment Schedule'!A450,'Payment Buildup'!P$4:P$34)</f>
        <v>0</v>
      </c>
      <c r="E450" s="134">
        <f>SUMIF('Payment Buildup'!A$4:A$34,"="&amp;'Payment Schedule'!A450,'Payment Buildup'!Q$4:Q$34)</f>
        <v>0</v>
      </c>
      <c r="F450" s="134">
        <f t="shared" si="49"/>
        <v>0</v>
      </c>
      <c r="G450" s="134">
        <f t="shared" si="46"/>
        <v>-226511.70851771027</v>
      </c>
      <c r="H450" s="136">
        <f t="shared" si="50"/>
        <v>-68180024.263830796</v>
      </c>
    </row>
    <row r="451" spans="1:8" x14ac:dyDescent="0.25">
      <c r="B451" s="119">
        <f t="shared" si="52"/>
        <v>35</v>
      </c>
      <c r="C451" s="124">
        <v>56005</v>
      </c>
      <c r="D451" s="133">
        <f>SUMIF('Payment Buildup'!A$4:A$34,"="&amp;'Payment Schedule'!A451,'Payment Buildup'!P$4:P$34)</f>
        <v>0</v>
      </c>
      <c r="E451" s="134">
        <f>SUMIF('Payment Buildup'!A$4:A$34,"="&amp;'Payment Schedule'!A451,'Payment Buildup'!Q$4:Q$34)</f>
        <v>0</v>
      </c>
      <c r="F451" s="134">
        <f t="shared" si="49"/>
        <v>0</v>
      </c>
      <c r="G451" s="134">
        <f t="shared" si="46"/>
        <v>-227266.74754610268</v>
      </c>
      <c r="H451" s="136">
        <f t="shared" si="50"/>
        <v>-68407291.011376902</v>
      </c>
    </row>
    <row r="452" spans="1:8" x14ac:dyDescent="0.25">
      <c r="A452" s="119">
        <f t="shared" ref="A452:B459" si="53">A440+1</f>
        <v>35</v>
      </c>
      <c r="B452" s="119">
        <f t="shared" si="53"/>
        <v>35</v>
      </c>
      <c r="C452" s="124">
        <v>56036</v>
      </c>
      <c r="D452" s="133">
        <f>SUMIF('Payment Buildup'!A$4:A$34,"="&amp;'Payment Schedule'!A452,'Payment Buildup'!P$4:P$34)</f>
        <v>0</v>
      </c>
      <c r="E452" s="134">
        <f>SUMIF('Payment Buildup'!A$4:A$34,"="&amp;'Payment Schedule'!A452,'Payment Buildup'!Q$4:Q$34)</f>
        <v>0</v>
      </c>
      <c r="F452" s="134">
        <f t="shared" si="49"/>
        <v>0</v>
      </c>
      <c r="G452" s="134">
        <f t="shared" si="46"/>
        <v>-228024.30337125636</v>
      </c>
      <c r="H452" s="136">
        <f t="shared" si="50"/>
        <v>-68635315.314748153</v>
      </c>
    </row>
    <row r="453" spans="1:8" x14ac:dyDescent="0.25">
      <c r="B453" s="119">
        <f t="shared" si="53"/>
        <v>35</v>
      </c>
      <c r="C453" s="124">
        <v>56066</v>
      </c>
      <c r="D453" s="133">
        <f>SUMIF('Payment Buildup'!A$4:A$34,"="&amp;'Payment Schedule'!A453,'Payment Buildup'!P$4:P$34)</f>
        <v>0</v>
      </c>
      <c r="E453" s="134">
        <f>SUMIF('Payment Buildup'!A$4:A$34,"="&amp;'Payment Schedule'!A453,'Payment Buildup'!Q$4:Q$34)</f>
        <v>0</v>
      </c>
      <c r="F453" s="134">
        <f t="shared" si="49"/>
        <v>0</v>
      </c>
      <c r="G453" s="134">
        <f t="shared" si="46"/>
        <v>-228784.38438249385</v>
      </c>
      <c r="H453" s="136">
        <f t="shared" si="50"/>
        <v>-68864099.699130654</v>
      </c>
    </row>
    <row r="454" spans="1:8" x14ac:dyDescent="0.25">
      <c r="B454" s="119">
        <f t="shared" si="53"/>
        <v>35</v>
      </c>
      <c r="C454" s="124">
        <v>56097</v>
      </c>
      <c r="D454" s="133">
        <f>SUMIF('Payment Buildup'!A$4:A$34,"="&amp;'Payment Schedule'!A454,'Payment Buildup'!P$4:P$34)</f>
        <v>0</v>
      </c>
      <c r="E454" s="134">
        <f>SUMIF('Payment Buildup'!A$4:A$34,"="&amp;'Payment Schedule'!A454,'Payment Buildup'!Q$4:Q$34)</f>
        <v>0</v>
      </c>
      <c r="F454" s="134">
        <f t="shared" si="49"/>
        <v>0</v>
      </c>
      <c r="G454" s="134">
        <f t="shared" si="46"/>
        <v>-229546.9989971022</v>
      </c>
      <c r="H454" s="136">
        <f t="shared" si="50"/>
        <v>-69093646.698127761</v>
      </c>
    </row>
    <row r="455" spans="1:8" x14ac:dyDescent="0.25">
      <c r="B455" s="119">
        <f t="shared" si="53"/>
        <v>35</v>
      </c>
      <c r="C455" s="124">
        <v>56128</v>
      </c>
      <c r="D455" s="133">
        <f>SUMIF('Payment Buildup'!A$4:A$34,"="&amp;'Payment Schedule'!A455,'Payment Buildup'!P$4:P$34)</f>
        <v>0</v>
      </c>
      <c r="E455" s="134">
        <f>SUMIF('Payment Buildup'!A$4:A$34,"="&amp;'Payment Schedule'!A455,'Payment Buildup'!Q$4:Q$34)</f>
        <v>0</v>
      </c>
      <c r="F455" s="134">
        <f t="shared" si="49"/>
        <v>0</v>
      </c>
      <c r="G455" s="134">
        <f t="shared" si="46"/>
        <v>-230312.15566042589</v>
      </c>
      <c r="H455" s="136">
        <f t="shared" si="50"/>
        <v>-69323958.853788182</v>
      </c>
    </row>
    <row r="456" spans="1:8" x14ac:dyDescent="0.25">
      <c r="B456" s="119">
        <f t="shared" si="53"/>
        <v>35</v>
      </c>
      <c r="C456" s="124">
        <v>56158</v>
      </c>
      <c r="D456" s="133">
        <f>SUMIF('Payment Buildup'!A$4:A$34,"="&amp;'Payment Schedule'!A456,'Payment Buildup'!P$4:P$34)</f>
        <v>0</v>
      </c>
      <c r="E456" s="134">
        <f>SUMIF('Payment Buildup'!A$4:A$34,"="&amp;'Payment Schedule'!A456,'Payment Buildup'!Q$4:Q$34)</f>
        <v>0</v>
      </c>
      <c r="F456" s="134">
        <f t="shared" si="49"/>
        <v>0</v>
      </c>
      <c r="G456" s="134">
        <f t="shared" si="46"/>
        <v>-231079.86284596063</v>
      </c>
      <c r="H456" s="136">
        <f t="shared" si="50"/>
        <v>-69555038.716634139</v>
      </c>
    </row>
    <row r="457" spans="1:8" x14ac:dyDescent="0.25">
      <c r="B457" s="119">
        <f t="shared" si="53"/>
        <v>35</v>
      </c>
      <c r="C457" s="124">
        <v>56189</v>
      </c>
      <c r="D457" s="133">
        <f>SUMIF('Payment Buildup'!A$4:A$34,"="&amp;'Payment Schedule'!A457,'Payment Buildup'!P$4:P$34)</f>
        <v>0</v>
      </c>
      <c r="E457" s="134">
        <f>SUMIF('Payment Buildup'!A$4:A$34,"="&amp;'Payment Schedule'!A457,'Payment Buildup'!Q$4:Q$34)</f>
        <v>0</v>
      </c>
      <c r="F457" s="134">
        <f t="shared" si="49"/>
        <v>0</v>
      </c>
      <c r="G457" s="134">
        <f t="shared" si="46"/>
        <v>-231850.12905544715</v>
      </c>
      <c r="H457" s="136">
        <f t="shared" si="50"/>
        <v>-69786888.84568958</v>
      </c>
    </row>
    <row r="458" spans="1:8" x14ac:dyDescent="0.25">
      <c r="B458" s="119">
        <f t="shared" si="53"/>
        <v>35</v>
      </c>
      <c r="C458" s="124">
        <v>56219</v>
      </c>
      <c r="D458" s="133">
        <f>SUMIF('Payment Buildup'!A$4:A$34,"="&amp;'Payment Schedule'!A458,'Payment Buildup'!P$4:P$34)</f>
        <v>0</v>
      </c>
      <c r="E458" s="134">
        <f>SUMIF('Payment Buildup'!A$4:A$34,"="&amp;'Payment Schedule'!A458,'Payment Buildup'!Q$4:Q$34)</f>
        <v>0</v>
      </c>
      <c r="F458" s="134">
        <f t="shared" si="49"/>
        <v>0</v>
      </c>
      <c r="G458" s="134">
        <f t="shared" ref="G458:G459" si="54">H457*(C$6/12)</f>
        <v>-232622.96281896529</v>
      </c>
      <c r="H458" s="136">
        <f t="shared" si="50"/>
        <v>-70019511.808508545</v>
      </c>
    </row>
    <row r="459" spans="1:8" x14ac:dyDescent="0.25">
      <c r="B459" s="119">
        <f t="shared" si="53"/>
        <v>35</v>
      </c>
      <c r="C459" s="124">
        <v>56250</v>
      </c>
      <c r="D459" s="133">
        <f>SUMIF('Payment Buildup'!A$4:A$34,"="&amp;'Payment Schedule'!A459,'Payment Buildup'!P$4:P$34)</f>
        <v>0</v>
      </c>
      <c r="E459" s="134">
        <f>SUMIF('Payment Buildup'!A$4:A$34,"="&amp;'Payment Schedule'!A459,'Payment Buildup'!Q$4:Q$34)</f>
        <v>0</v>
      </c>
      <c r="F459" s="134">
        <f t="shared" si="49"/>
        <v>0</v>
      </c>
      <c r="G459" s="134">
        <f t="shared" si="54"/>
        <v>-233398.37269502849</v>
      </c>
      <c r="H459" s="136">
        <f t="shared" si="50"/>
        <v>-70252910.181203574</v>
      </c>
    </row>
  </sheetData>
  <mergeCells count="3">
    <mergeCell ref="C1:F1"/>
    <mergeCell ref="G1:H1"/>
    <mergeCell ref="D7:H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Introduction</vt:lpstr>
      <vt:lpstr>Summary</vt:lpstr>
      <vt:lpstr>ECM Input</vt:lpstr>
      <vt:lpstr>Calculations</vt:lpstr>
      <vt:lpstr>Payment Buildup</vt:lpstr>
      <vt:lpstr>Payment Schedule</vt:lpstr>
      <vt:lpstr>MV</vt:lpstr>
      <vt:lpstr>OM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dc:creator>
  <cp:lastModifiedBy>Jesse Maestas</cp:lastModifiedBy>
  <dcterms:created xsi:type="dcterms:W3CDTF">2016-08-01T15:16:07Z</dcterms:created>
  <dcterms:modified xsi:type="dcterms:W3CDTF">2016-08-22T21:18:00Z</dcterms:modified>
</cp:coreProperties>
</file>