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60" windowWidth="17130" windowHeight="10995" activeTab="1"/>
  </bookViews>
  <sheets>
    <sheet name="Read Me-Help" sheetId="7" r:id="rId1"/>
    <sheet name="Estimator" sheetId="1" r:id="rId2"/>
    <sheet name="calculations" sheetId="6" state="hidden" r:id="rId3"/>
    <sheet name="WinSteam" sheetId="2" state="hidden" r:id="rId4"/>
    <sheet name="Property fit" sheetId="4" state="hidden" r:id="rId5"/>
    <sheet name="plant performance" sheetId="3" state="hidden" r:id="rId6"/>
    <sheet name="EPRI summary" sheetId="5" state="hidden" r:id="rId7"/>
  </sheets>
  <calcPr calcId="125725"/>
</workbook>
</file>

<file path=xl/calcChain.xml><?xml version="1.0" encoding="utf-8"?>
<calcChain xmlns="http://schemas.openxmlformats.org/spreadsheetml/2006/main">
  <c r="C23" i="6"/>
  <c r="C24" s="1"/>
  <c r="C25" s="1"/>
  <c r="A19" i="1"/>
  <c r="A17"/>
  <c r="A14" i="6" s="1"/>
  <c r="A12" i="1"/>
  <c r="A11"/>
  <c r="A10"/>
  <c r="A8"/>
  <c r="A9"/>
  <c r="A6" i="6" s="1"/>
  <c r="A7" i="1"/>
  <c r="A6"/>
  <c r="A5"/>
  <c r="D34" i="6"/>
  <c r="C16"/>
  <c r="C15"/>
  <c r="C14"/>
  <c r="D6"/>
  <c r="C6"/>
  <c r="I11" s="1"/>
  <c r="I12" s="1"/>
  <c r="D5"/>
  <c r="C5"/>
  <c r="A15"/>
  <c r="F13" i="1"/>
  <c r="D22" i="3"/>
  <c r="D23"/>
  <c r="D24"/>
  <c r="D25"/>
  <c r="D26"/>
  <c r="D27"/>
  <c r="D28"/>
  <c r="D29"/>
  <c r="D21"/>
  <c r="C388"/>
  <c r="C389"/>
  <c r="C390"/>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1"/>
  <c r="A502"/>
  <c r="A503"/>
  <c r="A504"/>
  <c r="A505"/>
  <c r="A506"/>
  <c r="A507"/>
  <c r="A508"/>
  <c r="A509"/>
  <c r="A510"/>
  <c r="A511"/>
  <c r="A512"/>
  <c r="A513"/>
  <c r="A514"/>
  <c r="A515"/>
  <c r="A516"/>
  <c r="A517"/>
  <c r="A518"/>
  <c r="A519"/>
  <c r="A520"/>
  <c r="A521"/>
  <c r="A316"/>
  <c r="C483"/>
  <c r="C484"/>
  <c r="C485"/>
  <c r="C486"/>
  <c r="C487"/>
  <c r="C488"/>
  <c r="C489"/>
  <c r="C490"/>
  <c r="C497"/>
  <c r="C498"/>
  <c r="C499"/>
  <c r="C482"/>
  <c r="C502"/>
  <c r="C503"/>
  <c r="C513"/>
  <c r="C514"/>
  <c r="C515"/>
  <c r="C516"/>
  <c r="C517"/>
  <c r="C518"/>
  <c r="C519"/>
  <c r="C520"/>
  <c r="C521"/>
  <c r="C501"/>
  <c r="B512"/>
  <c r="B513"/>
  <c r="B514"/>
  <c r="B515"/>
  <c r="B516"/>
  <c r="B517"/>
  <c r="B518"/>
  <c r="B519"/>
  <c r="B520"/>
  <c r="B521"/>
  <c r="B478"/>
  <c r="C478"/>
  <c r="B479"/>
  <c r="C479"/>
  <c r="B480"/>
  <c r="C480"/>
  <c r="B482"/>
  <c r="B483"/>
  <c r="B484"/>
  <c r="B485"/>
  <c r="B486"/>
  <c r="B487"/>
  <c r="B488"/>
  <c r="B489"/>
  <c r="B490"/>
  <c r="B491"/>
  <c r="B492"/>
  <c r="B493"/>
  <c r="B494"/>
  <c r="B495"/>
  <c r="B496"/>
  <c r="B497"/>
  <c r="B498"/>
  <c r="B499"/>
  <c r="B501"/>
  <c r="B502"/>
  <c r="B503"/>
  <c r="B504"/>
  <c r="B505"/>
  <c r="B506"/>
  <c r="B507"/>
  <c r="B508"/>
  <c r="B509"/>
  <c r="B510"/>
  <c r="B511"/>
  <c r="B457"/>
  <c r="B458"/>
  <c r="B459"/>
  <c r="B460"/>
  <c r="B461"/>
  <c r="B463"/>
  <c r="C463"/>
  <c r="B464"/>
  <c r="C464"/>
  <c r="B465"/>
  <c r="C465"/>
  <c r="B466"/>
  <c r="B467"/>
  <c r="B468"/>
  <c r="B469"/>
  <c r="B470"/>
  <c r="B471"/>
  <c r="B472"/>
  <c r="C472"/>
  <c r="B473"/>
  <c r="C473"/>
  <c r="B474"/>
  <c r="C474"/>
  <c r="B475"/>
  <c r="C475"/>
  <c r="B476"/>
  <c r="C476"/>
  <c r="B477"/>
  <c r="C477"/>
  <c r="B450"/>
  <c r="C450"/>
  <c r="B451"/>
  <c r="C451"/>
  <c r="B452"/>
  <c r="C452"/>
  <c r="B453"/>
  <c r="B454"/>
  <c r="B455"/>
  <c r="B456"/>
  <c r="B438"/>
  <c r="C438"/>
  <c r="B439"/>
  <c r="C439"/>
  <c r="B440"/>
  <c r="C440"/>
  <c r="B441"/>
  <c r="C441"/>
  <c r="B442"/>
  <c r="C442"/>
  <c r="B443"/>
  <c r="C443"/>
  <c r="B444"/>
  <c r="C444"/>
  <c r="B445"/>
  <c r="C445"/>
  <c r="B446"/>
  <c r="C446"/>
  <c r="B447"/>
  <c r="B448"/>
  <c r="B449"/>
  <c r="B317"/>
  <c r="C317"/>
  <c r="B318"/>
  <c r="C318"/>
  <c r="B319"/>
  <c r="C319"/>
  <c r="B320"/>
  <c r="C320"/>
  <c r="B321"/>
  <c r="C321"/>
  <c r="B322"/>
  <c r="C322"/>
  <c r="B323"/>
  <c r="C323"/>
  <c r="B324"/>
  <c r="C324"/>
  <c r="B325"/>
  <c r="B326"/>
  <c r="B327"/>
  <c r="B328"/>
  <c r="B329"/>
  <c r="B330"/>
  <c r="B331"/>
  <c r="C331"/>
  <c r="B332"/>
  <c r="C332"/>
  <c r="B333"/>
  <c r="C333"/>
  <c r="B335"/>
  <c r="C335"/>
  <c r="B336"/>
  <c r="C336"/>
  <c r="B337"/>
  <c r="C337"/>
  <c r="B338"/>
  <c r="C338"/>
  <c r="B339"/>
  <c r="C339"/>
  <c r="B340"/>
  <c r="C340"/>
  <c r="B341"/>
  <c r="C341"/>
  <c r="B342"/>
  <c r="C342"/>
  <c r="B343"/>
  <c r="C343"/>
  <c r="B344"/>
  <c r="C344"/>
  <c r="B345"/>
  <c r="C345"/>
  <c r="B346"/>
  <c r="C346"/>
  <c r="B347"/>
  <c r="C347"/>
  <c r="B348"/>
  <c r="C348"/>
  <c r="B349"/>
  <c r="C349"/>
  <c r="B350"/>
  <c r="B351"/>
  <c r="B352"/>
  <c r="B354"/>
  <c r="C354"/>
  <c r="B355"/>
  <c r="C355"/>
  <c r="B356"/>
  <c r="C356"/>
  <c r="B357"/>
  <c r="C357"/>
  <c r="B358"/>
  <c r="C358"/>
  <c r="B359"/>
  <c r="C359"/>
  <c r="B360"/>
  <c r="B361"/>
  <c r="B362"/>
  <c r="B363"/>
  <c r="C363"/>
  <c r="B364"/>
  <c r="C364"/>
  <c r="B365"/>
  <c r="C365"/>
  <c r="B366"/>
  <c r="C366"/>
  <c r="B367"/>
  <c r="C367"/>
  <c r="B368"/>
  <c r="C368"/>
  <c r="B369"/>
  <c r="B370"/>
  <c r="B371"/>
  <c r="B373"/>
  <c r="C373"/>
  <c r="B374"/>
  <c r="C374"/>
  <c r="B375"/>
  <c r="C375"/>
  <c r="B376"/>
  <c r="C376"/>
  <c r="B377"/>
  <c r="C377"/>
  <c r="B378"/>
  <c r="C378"/>
  <c r="B379"/>
  <c r="C379"/>
  <c r="B380"/>
  <c r="C380"/>
  <c r="B381"/>
  <c r="C381"/>
  <c r="B382"/>
  <c r="C382"/>
  <c r="B383"/>
  <c r="C383"/>
  <c r="B384"/>
  <c r="C384"/>
  <c r="B385"/>
  <c r="C385"/>
  <c r="B386"/>
  <c r="C386"/>
  <c r="B387"/>
  <c r="C387"/>
  <c r="B388"/>
  <c r="B389"/>
  <c r="B390"/>
  <c r="B391"/>
  <c r="B392"/>
  <c r="B393"/>
  <c r="B394"/>
  <c r="B395"/>
  <c r="B396"/>
  <c r="B397"/>
  <c r="B398"/>
  <c r="B399"/>
  <c r="B401"/>
  <c r="C401"/>
  <c r="B402"/>
  <c r="C402"/>
  <c r="B403"/>
  <c r="C403"/>
  <c r="B404"/>
  <c r="C404"/>
  <c r="B405"/>
  <c r="C405"/>
  <c r="B406"/>
  <c r="C406"/>
  <c r="B407"/>
  <c r="C407"/>
  <c r="B408"/>
  <c r="C408"/>
  <c r="B409"/>
  <c r="C409"/>
  <c r="B410"/>
  <c r="C410"/>
  <c r="B411"/>
  <c r="C411"/>
  <c r="B412"/>
  <c r="C412"/>
  <c r="B413"/>
  <c r="C413"/>
  <c r="B414"/>
  <c r="C414"/>
  <c r="B415"/>
  <c r="C415"/>
  <c r="B416"/>
  <c r="B417"/>
  <c r="B418"/>
  <c r="B419"/>
  <c r="B420"/>
  <c r="B421"/>
  <c r="B422"/>
  <c r="B423"/>
  <c r="B424"/>
  <c r="B425"/>
  <c r="B426"/>
  <c r="B427"/>
  <c r="B429"/>
  <c r="C429"/>
  <c r="B430"/>
  <c r="C430"/>
  <c r="B431"/>
  <c r="C431"/>
  <c r="B432"/>
  <c r="C432"/>
  <c r="B433"/>
  <c r="C433"/>
  <c r="B434"/>
  <c r="C434"/>
  <c r="B435"/>
  <c r="C435"/>
  <c r="B436"/>
  <c r="C436"/>
  <c r="B437"/>
  <c r="C437"/>
  <c r="C316"/>
  <c r="B316"/>
  <c r="C302"/>
  <c r="C301"/>
  <c r="C300"/>
  <c r="C299"/>
  <c r="C298"/>
  <c r="C297"/>
  <c r="C296"/>
  <c r="C295"/>
  <c r="C294"/>
  <c r="C292"/>
  <c r="C291"/>
  <c r="C290"/>
  <c r="C289"/>
  <c r="C288"/>
  <c r="C287"/>
  <c r="C286"/>
  <c r="O23" i="5"/>
  <c r="S23" s="1"/>
  <c r="O22"/>
  <c r="O21"/>
  <c r="O20"/>
  <c r="O19"/>
  <c r="O18"/>
  <c r="O17"/>
  <c r="O13"/>
  <c r="O12"/>
  <c r="O11"/>
  <c r="O10"/>
  <c r="N23"/>
  <c r="N22"/>
  <c r="N21"/>
  <c r="N20"/>
  <c r="N19"/>
  <c r="N18"/>
  <c r="N17"/>
  <c r="H23"/>
  <c r="H22"/>
  <c r="H21"/>
  <c r="H20"/>
  <c r="H19"/>
  <c r="H18"/>
  <c r="H17"/>
  <c r="H13"/>
  <c r="H12"/>
  <c r="H11"/>
  <c r="H10"/>
  <c r="N10"/>
  <c r="N11"/>
  <c r="S11" s="1"/>
  <c r="N13"/>
  <c r="S13" s="1"/>
  <c r="N12"/>
  <c r="S12" s="1"/>
  <c r="R23"/>
  <c r="Q23"/>
  <c r="K23"/>
  <c r="I23"/>
  <c r="J23" s="1"/>
  <c r="L23" s="1"/>
  <c r="M23" s="1"/>
  <c r="R22"/>
  <c r="Q22"/>
  <c r="K22"/>
  <c r="I22"/>
  <c r="J22" s="1"/>
  <c r="L22" s="1"/>
  <c r="M22" s="1"/>
  <c r="R21"/>
  <c r="Q21"/>
  <c r="K21"/>
  <c r="R20"/>
  <c r="Q20"/>
  <c r="K20"/>
  <c r="R19"/>
  <c r="Q19"/>
  <c r="K19"/>
  <c r="I19"/>
  <c r="J19" s="1"/>
  <c r="L19" s="1"/>
  <c r="M19" s="1"/>
  <c r="R18"/>
  <c r="Q18"/>
  <c r="S18" s="1"/>
  <c r="K18"/>
  <c r="G18"/>
  <c r="I18" s="1"/>
  <c r="J18" s="1"/>
  <c r="R17"/>
  <c r="Q17"/>
  <c r="K17"/>
  <c r="G17"/>
  <c r="M16"/>
  <c r="R16"/>
  <c r="Q16"/>
  <c r="O16"/>
  <c r="N16"/>
  <c r="K16"/>
  <c r="H16"/>
  <c r="G16"/>
  <c r="I16" s="1"/>
  <c r="J16" s="1"/>
  <c r="L16" s="1"/>
  <c r="R15"/>
  <c r="Q15"/>
  <c r="O15"/>
  <c r="N15"/>
  <c r="K15"/>
  <c r="L15" s="1"/>
  <c r="M15" s="1"/>
  <c r="J15"/>
  <c r="K7"/>
  <c r="L7" s="1"/>
  <c r="M7" s="1"/>
  <c r="T7" s="1"/>
  <c r="J7"/>
  <c r="H15"/>
  <c r="G15"/>
  <c r="E12"/>
  <c r="E13"/>
  <c r="G12"/>
  <c r="I12" s="1"/>
  <c r="J12" s="1"/>
  <c r="K12"/>
  <c r="G13"/>
  <c r="K13"/>
  <c r="Q13"/>
  <c r="R13"/>
  <c r="Q12"/>
  <c r="R12"/>
  <c r="I10"/>
  <c r="J10" s="1"/>
  <c r="L10" s="1"/>
  <c r="M10" s="1"/>
  <c r="K10"/>
  <c r="Q10"/>
  <c r="R10"/>
  <c r="I11"/>
  <c r="J11" s="1"/>
  <c r="L11" s="1"/>
  <c r="M11" s="1"/>
  <c r="K11"/>
  <c r="Q11"/>
  <c r="R11"/>
  <c r="E11"/>
  <c r="G10"/>
  <c r="G11"/>
  <c r="E10"/>
  <c r="Q9"/>
  <c r="S9" s="1"/>
  <c r="R9"/>
  <c r="G9"/>
  <c r="I9" s="1"/>
  <c r="J9" s="1"/>
  <c r="L9" s="1"/>
  <c r="M9" s="1"/>
  <c r="H9"/>
  <c r="K9"/>
  <c r="N9"/>
  <c r="O9"/>
  <c r="E9"/>
  <c r="E8"/>
  <c r="S8"/>
  <c r="R8"/>
  <c r="Q8"/>
  <c r="O8"/>
  <c r="N8"/>
  <c r="K8"/>
  <c r="H8"/>
  <c r="G8"/>
  <c r="S7"/>
  <c r="R7"/>
  <c r="Q7"/>
  <c r="O7"/>
  <c r="N7"/>
  <c r="G7"/>
  <c r="H7"/>
  <c r="E7"/>
  <c r="C74" i="3"/>
  <c r="C75"/>
  <c r="C71"/>
  <c r="C72"/>
  <c r="C73"/>
  <c r="D5" i="2"/>
  <c r="D16" i="6" l="1"/>
  <c r="C17"/>
  <c r="C18" s="1"/>
  <c r="C20" s="1"/>
  <c r="I7"/>
  <c r="I8" s="1"/>
  <c r="I14"/>
  <c r="I15" s="1"/>
  <c r="S10" i="5"/>
  <c r="T10" s="1"/>
  <c r="I17"/>
  <c r="J17" s="1"/>
  <c r="L17" s="1"/>
  <c r="M17" s="1"/>
  <c r="T17" s="1"/>
  <c r="T11"/>
  <c r="I21"/>
  <c r="J21" s="1"/>
  <c r="L21" s="1"/>
  <c r="M21" s="1"/>
  <c r="I20"/>
  <c r="J20" s="1"/>
  <c r="L20" s="1"/>
  <c r="M20" s="1"/>
  <c r="S22"/>
  <c r="T22" s="1"/>
  <c r="S21"/>
  <c r="S20"/>
  <c r="S17"/>
  <c r="S16"/>
  <c r="T16" s="1"/>
  <c r="S15"/>
  <c r="T15" s="1"/>
  <c r="T23"/>
  <c r="S19"/>
  <c r="T19" s="1"/>
  <c r="L18"/>
  <c r="M18" s="1"/>
  <c r="T18" s="1"/>
  <c r="L12"/>
  <c r="M12" s="1"/>
  <c r="T12" s="1"/>
  <c r="I13"/>
  <c r="J13" s="1"/>
  <c r="L13" s="1"/>
  <c r="M13" s="1"/>
  <c r="T13" s="1"/>
  <c r="T9"/>
  <c r="I8"/>
  <c r="J8" s="1"/>
  <c r="L8" s="1"/>
  <c r="M8" s="1"/>
  <c r="T8" s="1"/>
  <c r="C279" i="3"/>
  <c r="C280"/>
  <c r="C281"/>
  <c r="C282"/>
  <c r="C283"/>
  <c r="C284"/>
  <c r="C278"/>
  <c r="C277"/>
  <c r="C276"/>
  <c r="C275"/>
  <c r="C274"/>
  <c r="C273"/>
  <c r="C272"/>
  <c r="C271"/>
  <c r="C270"/>
  <c r="C269"/>
  <c r="C268"/>
  <c r="C267"/>
  <c r="C266"/>
  <c r="C265"/>
  <c r="C264"/>
  <c r="C21" i="6" l="1"/>
  <c r="T21" i="5"/>
  <c r="T20"/>
  <c r="C262" i="3"/>
  <c r="C261"/>
  <c r="C260"/>
  <c r="C259"/>
  <c r="C258"/>
  <c r="C257"/>
  <c r="C256"/>
  <c r="C255"/>
  <c r="C254"/>
  <c r="C253"/>
  <c r="C252"/>
  <c r="C251"/>
  <c r="C250"/>
  <c r="C249"/>
  <c r="C248"/>
  <c r="C247"/>
  <c r="C246"/>
  <c r="C245"/>
  <c r="C229" l="1"/>
  <c r="C230"/>
  <c r="C231"/>
  <c r="C232"/>
  <c r="C233"/>
  <c r="C234"/>
  <c r="C235"/>
  <c r="C236"/>
  <c r="C237"/>
  <c r="C238"/>
  <c r="C239"/>
  <c r="C240"/>
  <c r="C241"/>
  <c r="C242"/>
  <c r="C243"/>
  <c r="C228"/>
  <c r="C227"/>
  <c r="C226"/>
  <c r="C195" l="1"/>
  <c r="C196"/>
  <c r="C197"/>
  <c r="C198"/>
  <c r="C199"/>
  <c r="C200"/>
  <c r="C201"/>
  <c r="C202"/>
  <c r="C203"/>
  <c r="C204"/>
  <c r="C205"/>
  <c r="C206"/>
  <c r="C207"/>
  <c r="C208"/>
  <c r="C209"/>
  <c r="C210"/>
  <c r="C211"/>
  <c r="C212"/>
  <c r="C213"/>
  <c r="C214"/>
  <c r="C215"/>
  <c r="C216"/>
  <c r="C217"/>
  <c r="C218"/>
  <c r="C219"/>
  <c r="C220"/>
  <c r="C221"/>
  <c r="C222"/>
  <c r="C223"/>
  <c r="C224"/>
  <c r="C193"/>
  <c r="C194"/>
  <c r="C192"/>
  <c r="C176"/>
  <c r="C177"/>
  <c r="C178"/>
  <c r="C179"/>
  <c r="C180"/>
  <c r="C181"/>
  <c r="C182"/>
  <c r="C183"/>
  <c r="C184"/>
  <c r="C185"/>
  <c r="C186"/>
  <c r="C187"/>
  <c r="C188"/>
  <c r="C189"/>
  <c r="C190"/>
  <c r="C173"/>
  <c r="C174"/>
  <c r="C175"/>
  <c r="C167"/>
  <c r="C168"/>
  <c r="C169"/>
  <c r="C170"/>
  <c r="C171"/>
  <c r="C172"/>
  <c r="C166"/>
  <c r="C165"/>
  <c r="C164"/>
  <c r="C151"/>
  <c r="C152"/>
  <c r="C153"/>
  <c r="C154"/>
  <c r="C155"/>
  <c r="C156"/>
  <c r="C157"/>
  <c r="C158"/>
  <c r="C159"/>
  <c r="C160"/>
  <c r="C161"/>
  <c r="C162"/>
  <c r="C149"/>
  <c r="C150"/>
  <c r="C139"/>
  <c r="C140"/>
  <c r="C141"/>
  <c r="C142"/>
  <c r="C143"/>
  <c r="C144"/>
  <c r="C145"/>
  <c r="C146"/>
  <c r="C147"/>
  <c r="C148"/>
  <c r="C138"/>
  <c r="C137"/>
  <c r="C136"/>
  <c r="C132"/>
  <c r="C133"/>
  <c r="C134"/>
  <c r="C123"/>
  <c r="C124"/>
  <c r="C125"/>
  <c r="C126"/>
  <c r="C127"/>
  <c r="C128"/>
  <c r="C129"/>
  <c r="C130"/>
  <c r="C131"/>
  <c r="C120"/>
  <c r="C121"/>
  <c r="C122"/>
  <c r="C119"/>
  <c r="C118"/>
  <c r="C117"/>
  <c r="C101"/>
  <c r="C102"/>
  <c r="C103"/>
  <c r="C104"/>
  <c r="C105"/>
  <c r="C106"/>
  <c r="C107"/>
  <c r="C108"/>
  <c r="C109"/>
  <c r="C110"/>
  <c r="C111"/>
  <c r="C112"/>
  <c r="C113"/>
  <c r="C114"/>
  <c r="C115"/>
  <c r="C100"/>
  <c r="C99"/>
  <c r="C98"/>
  <c r="C94"/>
  <c r="C95"/>
  <c r="C96"/>
  <c r="C82"/>
  <c r="C83"/>
  <c r="C84"/>
  <c r="C85"/>
  <c r="C86"/>
  <c r="C87"/>
  <c r="C88"/>
  <c r="C89"/>
  <c r="C90"/>
  <c r="C91"/>
  <c r="C92"/>
  <c r="C93"/>
  <c r="B54"/>
  <c r="C81"/>
  <c r="C79"/>
  <c r="C80"/>
  <c r="C62"/>
  <c r="C63"/>
  <c r="C64"/>
  <c r="C65"/>
  <c r="C66"/>
  <c r="C67"/>
  <c r="C68"/>
  <c r="C69"/>
  <c r="C70"/>
  <c r="C60"/>
  <c r="C61"/>
  <c r="C58"/>
  <c r="C59"/>
  <c r="C56"/>
  <c r="C57"/>
  <c r="C52" l="1"/>
  <c r="C51"/>
  <c r="C50"/>
  <c r="C49"/>
  <c r="C48"/>
  <c r="C47"/>
  <c r="C46"/>
  <c r="C45"/>
  <c r="C44"/>
  <c r="C43"/>
  <c r="C42"/>
  <c r="C41"/>
  <c r="C40"/>
  <c r="C39"/>
  <c r="C38"/>
  <c r="C37"/>
  <c r="C36"/>
  <c r="C35"/>
  <c r="C34"/>
  <c r="C33"/>
  <c r="C32"/>
  <c r="C29"/>
  <c r="C28"/>
  <c r="C27"/>
  <c r="C26"/>
  <c r="C25"/>
  <c r="C24"/>
  <c r="C23"/>
  <c r="C22"/>
  <c r="C21"/>
  <c r="A4" i="6" l="1"/>
  <c r="C4" s="1"/>
  <c r="C5" i="4"/>
  <c r="C3" i="6" s="1"/>
  <c r="F17" i="1" s="1"/>
  <c r="F18" s="1"/>
  <c r="C6" i="4"/>
  <c r="G6" s="1"/>
  <c r="A3" i="1"/>
  <c r="C5" i="2"/>
  <c r="C6"/>
  <c r="C21" i="1"/>
  <c r="A33" i="6"/>
  <c r="A5"/>
  <c r="C31" s="1"/>
  <c r="G6" i="2"/>
  <c r="G5"/>
  <c r="F6"/>
  <c r="E5"/>
  <c r="F5"/>
  <c r="C4" i="3" l="1"/>
  <c r="D4" s="1"/>
  <c r="E4" s="1"/>
  <c r="C3"/>
  <c r="Q6" i="4"/>
  <c r="P5"/>
  <c r="Q3"/>
  <c r="O6"/>
  <c r="P4"/>
  <c r="Q4"/>
  <c r="O3"/>
  <c r="Q5"/>
  <c r="F6"/>
  <c r="O4"/>
  <c r="O5"/>
  <c r="P6"/>
  <c r="P3"/>
  <c r="N3" s="1"/>
  <c r="D5" s="1"/>
  <c r="H5" i="2"/>
  <c r="I5" s="1"/>
  <c r="F11" i="1" l="1"/>
  <c r="N4" i="4"/>
  <c r="F5" s="1"/>
  <c r="D3" i="3"/>
  <c r="E3" s="1"/>
  <c r="D14" i="1" s="1"/>
  <c r="C11" i="6" s="1"/>
  <c r="N6" i="4"/>
  <c r="G5" s="1"/>
  <c r="N5"/>
  <c r="E5" s="1"/>
  <c r="C7" i="6" s="1"/>
  <c r="C33" l="1"/>
  <c r="C8"/>
  <c r="C9" s="1"/>
  <c r="I9"/>
  <c r="I16"/>
  <c r="H5" i="4"/>
  <c r="I5" s="1"/>
  <c r="D15" i="1" s="1"/>
  <c r="C10" i="6" s="1"/>
  <c r="C12" l="1"/>
  <c r="C26" s="1"/>
  <c r="C27" l="1"/>
  <c r="C13"/>
  <c r="C30" l="1"/>
  <c r="C32" s="1"/>
  <c r="C34" s="1"/>
  <c r="D21" i="1" s="1"/>
  <c r="C28" i="6"/>
  <c r="D23" i="1" s="1"/>
</calcChain>
</file>

<file path=xl/sharedStrings.xml><?xml version="1.0" encoding="utf-8"?>
<sst xmlns="http://schemas.openxmlformats.org/spreadsheetml/2006/main" count="415" uniqueCount="160">
  <si>
    <t xml:space="preserve">T,gf </t>
  </si>
  <si>
    <t>C</t>
  </si>
  <si>
    <t>F</t>
  </si>
  <si>
    <t>T,sink</t>
  </si>
  <si>
    <t>MW</t>
  </si>
  <si>
    <t>kW</t>
  </si>
  <si>
    <t>Plant Output</t>
  </si>
  <si>
    <t>Flow Units</t>
  </si>
  <si>
    <t>lb/hr</t>
  </si>
  <si>
    <t>gpm</t>
  </si>
  <si>
    <t>kg/s</t>
  </si>
  <si>
    <t>bbl/day</t>
  </si>
  <si>
    <t>2nd law efficiency</t>
  </si>
  <si>
    <t>Tsource</t>
  </si>
  <si>
    <t>Input</t>
  </si>
  <si>
    <t>Estimate</t>
  </si>
  <si>
    <t>Input 2nd law efficency</t>
  </si>
  <si>
    <t>Flow Required for Power Output Specified</t>
  </si>
  <si>
    <t>2nd law efficiency used</t>
  </si>
  <si>
    <t>level of power for which you want flow estimate</t>
  </si>
  <si>
    <t>units for flow estimate</t>
  </si>
  <si>
    <t>either input value for 2nd law efficiency or use estimated value</t>
  </si>
  <si>
    <t>T</t>
  </si>
  <si>
    <t>P</t>
  </si>
  <si>
    <t>h</t>
  </si>
  <si>
    <t>s</t>
  </si>
  <si>
    <t>ae</t>
  </si>
  <si>
    <t>calculation of available energy is in Imperial Units</t>
  </si>
  <si>
    <t>rho</t>
  </si>
  <si>
    <t>[F]</t>
  </si>
  <si>
    <t>[psi]</t>
  </si>
  <si>
    <t>[lb/cft]</t>
  </si>
  <si>
    <t>[btu/lb]</t>
  </si>
  <si>
    <t>[btu/lb-R]</t>
  </si>
  <si>
    <t>Available Energy</t>
  </si>
  <si>
    <t>maximum power that could be produced with IDEAL power cycle</t>
  </si>
  <si>
    <t>w-hr/lb</t>
  </si>
  <si>
    <t>[w-hr/lb]</t>
  </si>
  <si>
    <t>Yes</t>
  </si>
  <si>
    <t>No</t>
  </si>
  <si>
    <t>Do you have Excel WinSteam Addin?</t>
  </si>
  <si>
    <t>spec  vol</t>
  </si>
  <si>
    <t>Flow Rate</t>
  </si>
  <si>
    <t>Power Output</t>
  </si>
  <si>
    <t>either the flow required to produce a defined level of output, or the power produced from a defined flow rate</t>
  </si>
  <si>
    <t>flow rate</t>
  </si>
  <si>
    <t>Do you want to estimate the flow rate required or the power output</t>
  </si>
  <si>
    <t>Power Produced from Flow Specified</t>
  </si>
  <si>
    <t>Binary</t>
  </si>
  <si>
    <t>2nd law</t>
  </si>
  <si>
    <t>T,[C]</t>
  </si>
  <si>
    <t>T,[F]</t>
  </si>
  <si>
    <t>this is the liquid temperature of the resource prior to any flashing</t>
  </si>
  <si>
    <t>10,10</t>
  </si>
  <si>
    <t>10,15</t>
  </si>
  <si>
    <t>10,5</t>
  </si>
  <si>
    <t>15,10</t>
  </si>
  <si>
    <t>15,5</t>
  </si>
  <si>
    <t>7.5,5</t>
  </si>
  <si>
    <t>5,5</t>
  </si>
  <si>
    <t>5,15</t>
  </si>
  <si>
    <t>5,10</t>
  </si>
  <si>
    <t>10,20</t>
  </si>
  <si>
    <t>15,20</t>
  </si>
  <si>
    <t>10,25</t>
  </si>
  <si>
    <t>20,20</t>
  </si>
  <si>
    <t>20,5</t>
  </si>
  <si>
    <t>20,10</t>
  </si>
  <si>
    <t>25,10</t>
  </si>
  <si>
    <t>30,15</t>
  </si>
  <si>
    <t>5,20</t>
  </si>
  <si>
    <t>15,30</t>
  </si>
  <si>
    <t>20,25</t>
  </si>
  <si>
    <t>20,30</t>
  </si>
  <si>
    <t>DiPippo - Water cooled</t>
  </si>
  <si>
    <t>flash</t>
  </si>
  <si>
    <t>Aspen</t>
  </si>
  <si>
    <t>Aspen recup</t>
  </si>
  <si>
    <t>40,40</t>
  </si>
  <si>
    <t>30,30</t>
  </si>
  <si>
    <t>25,25</t>
  </si>
  <si>
    <t>15,15</t>
  </si>
  <si>
    <t>EPRI</t>
  </si>
  <si>
    <t>Plant</t>
  </si>
  <si>
    <t>Plant Type</t>
  </si>
  <si>
    <t>Flash</t>
  </si>
  <si>
    <t>this is the air temperature (dry bulb for air-cooling, wet bulb for evaporative cooling)</t>
  </si>
  <si>
    <t>Thermo Hot Springs</t>
  </si>
  <si>
    <t>Temp</t>
  </si>
  <si>
    <t>flow</t>
  </si>
  <si>
    <t>Power</t>
  </si>
  <si>
    <t>Sales</t>
  </si>
  <si>
    <t>drawdown</t>
  </si>
  <si>
    <t>flow/well</t>
  </si>
  <si>
    <t>psi</t>
  </si>
  <si>
    <t>lb/cft</t>
  </si>
  <si>
    <t>head</t>
  </si>
  <si>
    <t>ft</t>
  </si>
  <si>
    <t>Prod Pump Power</t>
  </si>
  <si>
    <t>Inject pump</t>
  </si>
  <si>
    <t>Plant output</t>
  </si>
  <si>
    <t>be</t>
  </si>
  <si>
    <t>To</t>
  </si>
  <si>
    <t>ho</t>
  </si>
  <si>
    <t>so</t>
  </si>
  <si>
    <t>btu/lb</t>
  </si>
  <si>
    <t>btu/lb-R</t>
  </si>
  <si>
    <t>Raft River</t>
  </si>
  <si>
    <t>Vale</t>
  </si>
  <si>
    <t>Surprise Valley</t>
  </si>
  <si>
    <t>Coso</t>
  </si>
  <si>
    <t>Desert Peak</t>
  </si>
  <si>
    <t>Dixie Valley</t>
  </si>
  <si>
    <t>Glass Mountain</t>
  </si>
  <si>
    <t>Salton Sea</t>
  </si>
  <si>
    <t>EPRI-binary</t>
  </si>
  <si>
    <t>EPRI-Flash</t>
  </si>
  <si>
    <t>Input GF pumping by pump depth or by fraction of net power</t>
  </si>
  <si>
    <t>Fraction</t>
  </si>
  <si>
    <t>Depth</t>
  </si>
  <si>
    <t>Input fraction of net output for GF Pumping</t>
  </si>
  <si>
    <t>Input production pump setting depth</t>
  </si>
  <si>
    <t>m</t>
  </si>
  <si>
    <t>Resource Temperature</t>
  </si>
  <si>
    <t>Calculating</t>
  </si>
  <si>
    <t>Power output</t>
  </si>
  <si>
    <t>Density</t>
  </si>
  <si>
    <t>Flow rate</t>
  </si>
  <si>
    <t>lb/kg</t>
  </si>
  <si>
    <t>gal/cft</t>
  </si>
  <si>
    <t>gal/bbl</t>
  </si>
  <si>
    <t>gal/hr</t>
  </si>
  <si>
    <t>cft/hr</t>
  </si>
  <si>
    <t>lb/s</t>
  </si>
  <si>
    <t>cfm</t>
  </si>
  <si>
    <t>flow Units conversion</t>
  </si>
  <si>
    <t>GF pumping power</t>
  </si>
  <si>
    <t>Fraction of plant output</t>
  </si>
  <si>
    <t>pump depth</t>
  </si>
  <si>
    <t>ft/m</t>
  </si>
  <si>
    <t>depth Units conversion</t>
  </si>
  <si>
    <t>pump/driver efficiency</t>
  </si>
  <si>
    <t>Pumping Power - GF</t>
  </si>
  <si>
    <t>Brine effectiveness</t>
  </si>
  <si>
    <t>hp-hr/lb</t>
  </si>
  <si>
    <t>Pumping power (depth)</t>
  </si>
  <si>
    <t>kW-hr/lb</t>
  </si>
  <si>
    <t>Sales - GF be</t>
  </si>
  <si>
    <t>watt</t>
  </si>
  <si>
    <t>Flow Units conversion</t>
  </si>
  <si>
    <t>Production Pump power (from depth)</t>
  </si>
  <si>
    <t>Injection head</t>
  </si>
  <si>
    <t xml:space="preserve"> psi</t>
  </si>
  <si>
    <t>Injection pump power</t>
  </si>
  <si>
    <t xml:space="preserve"> THE MODELED SCENARIOS ALWAYS ASSUME THERE IS A TEMPERATURE CONSTRAINT ON THE GEOTHERMAL FLUID LEAVING THE PLANT TO PREVENT MINERAL (SILICA) PRECIPITATION.  The user can opt to use either binary or flash plants.  Though a warning will be displayed if a binary plant is used at resource temperatures above 200C, the model will still make the calculations - the warning indicates these temperatures may be above the operating temperatures for current production pump technologies.  At these temperatures the binary plants will have recuperators.</t>
  </si>
  <si>
    <t>The model has drop down lists for several of the input cells (those with yellow background).  The logic that is used to make sure the units are correct requires that the User use those options from the drop down lists.</t>
  </si>
  <si>
    <t>This calculation requires an estimate be made of the Geothermal Pumping Power (Power Sales is the difference between the Net Plant Output and the Geothermal Pumping Power).  The User can estimate this pumping power as some fraction of the net plant output, or the User can define a production pump setting depth.  The model assumes that there is 100 psi of pressure added in the injection pump.  The combined pump and driver efficiency is assumed to be 70% for both production and injection pump.</t>
  </si>
  <si>
    <t>This simple spreadsheet model estimates either the flow rate required to produce a specified level of power output, or the power output that can be produced from a specified flow rate.</t>
  </si>
  <si>
    <t>The User defined temperatures for both the resource and the heat sink are used to calculate the geothermal fluid's available energy; this is the maximum power that could be produced by an ideal power cycle.  The 2nd law efficiency is the fraction of that available energy that a power cycle is able to convert to electrical power (net, excluding the geothermal pumping power). This value and the either the User defined flow rate or the User defined Power (assumed to be power sales) is used to calculate either Power Sales or Flow rate required. The 2nd law efficiency that the model estimates is based on a number of Aspen power plant simulations, as well as published performance (DiPippo, EPRI). The curve fit of the data depicts those plants that have above average performance, but not the highest performance.  The 2nd law efficiency (especially for binary plants) can vary considerably; more efficient plants will have higher capital costs.  It is unlikely that any plant using current technologies will have 2nd law efficiencies in excess of 50%, and any plant approaching this level of performance will be expensive.</t>
  </si>
  <si>
    <t>The User can specify units for both the temperatures (C or F), power (kW or MW), and flow (lb/hr - pounds per hour, gpm - gallons per minute, kg/s - kilograms per second, or bbl/day - barrels per day).  The model should use the User defined units for both input and output (the User needs to define both).  The models estimates of both flow and power are based on the assumption that the geothermal fluid properties are the same as those of water. Those properties can be determined using the EXCEL Add-in WinSteam, or can be estimated using the simple curve fits that are utilized in GETEM.  The User has the option of selecting to use WinSteam if the User has that Add-in.</t>
  </si>
</sst>
</file>

<file path=xl/styles.xml><?xml version="1.0" encoding="utf-8"?>
<styleSheet xmlns="http://schemas.openxmlformats.org/spreadsheetml/2006/main">
  <numFmts count="4">
    <numFmt numFmtId="164" formatCode="0.0%"/>
    <numFmt numFmtId="165" formatCode="0.000000000E+00"/>
    <numFmt numFmtId="166" formatCode="#,##0.0"/>
    <numFmt numFmtId="167" formatCode="0.000"/>
  </numFmts>
  <fonts count="24">
    <font>
      <sz val="10"/>
      <name val="Arial"/>
    </font>
    <font>
      <sz val="10"/>
      <name val="Arial"/>
      <family val="2"/>
    </font>
    <font>
      <sz val="10"/>
      <name val="Calibri"/>
      <family val="2"/>
    </font>
    <font>
      <b/>
      <sz val="10"/>
      <name val="Calibri"/>
      <family val="2"/>
    </font>
    <font>
      <sz val="12"/>
      <name val="Calibri"/>
      <family val="2"/>
    </font>
    <font>
      <b/>
      <sz val="12"/>
      <name val="Calibri"/>
      <family val="2"/>
    </font>
    <font>
      <b/>
      <sz val="11"/>
      <name val="Calibri"/>
      <family val="2"/>
    </font>
    <font>
      <sz val="11"/>
      <name val="Calibri"/>
      <family val="2"/>
    </font>
    <font>
      <sz val="8"/>
      <name val="Arial"/>
      <family val="2"/>
    </font>
    <font>
      <b/>
      <sz val="12"/>
      <color theme="0"/>
      <name val="Calibri"/>
      <family val="2"/>
    </font>
    <font>
      <b/>
      <sz val="11"/>
      <color theme="0"/>
      <name val="Calibri"/>
      <family val="2"/>
    </font>
    <font>
      <b/>
      <sz val="10"/>
      <color theme="0"/>
      <name val="Calibri"/>
      <family val="2"/>
    </font>
    <font>
      <sz val="9"/>
      <name val="Arial"/>
      <family val="2"/>
    </font>
    <font>
      <sz val="9"/>
      <name val="Calibri"/>
      <family val="2"/>
      <scheme val="minor"/>
    </font>
    <font>
      <b/>
      <sz val="9"/>
      <name val="Calibri"/>
      <family val="2"/>
      <scheme val="minor"/>
    </font>
    <font>
      <b/>
      <sz val="9"/>
      <color indexed="12"/>
      <name val="Arial"/>
      <family val="2"/>
    </font>
    <font>
      <sz val="10"/>
      <name val="Calibri"/>
      <family val="2"/>
      <scheme val="minor"/>
    </font>
    <font>
      <sz val="8"/>
      <name val="Calibri"/>
      <family val="2"/>
      <scheme val="minor"/>
    </font>
    <font>
      <b/>
      <sz val="12"/>
      <name val="Calibri"/>
      <family val="2"/>
      <scheme val="minor"/>
    </font>
    <font>
      <sz val="10"/>
      <color rgb="FF000000"/>
      <name val="Arial"/>
      <family val="2"/>
    </font>
    <font>
      <b/>
      <sz val="11"/>
      <color rgb="FFFF0000"/>
      <name val="Calibri"/>
      <family val="2"/>
    </font>
    <font>
      <b/>
      <sz val="10"/>
      <name val="Arial"/>
      <family val="2"/>
    </font>
    <font>
      <b/>
      <i/>
      <sz val="10"/>
      <color rgb="FFFF0000"/>
      <name val="Calibri"/>
      <family val="2"/>
    </font>
    <font>
      <sz val="10"/>
      <color theme="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4"/>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2" fillId="0" borderId="0" xfId="0" applyFont="1" applyAlignment="1">
      <alignment horizontal="right"/>
    </xf>
    <xf numFmtId="0" fontId="3" fillId="0" borderId="0" xfId="0" applyFont="1" applyAlignment="1">
      <alignment horizontal="center"/>
    </xf>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6" fillId="0" borderId="0" xfId="0" applyFont="1" applyAlignment="1">
      <alignment horizontal="right"/>
    </xf>
    <xf numFmtId="164" fontId="4" fillId="0" borderId="0" xfId="1" applyNumberFormat="1" applyFont="1" applyFill="1" applyBorder="1" applyAlignment="1">
      <alignment horizontal="center"/>
    </xf>
    <xf numFmtId="0" fontId="6" fillId="0" borderId="0" xfId="0" applyFont="1"/>
    <xf numFmtId="0" fontId="4" fillId="0" borderId="0" xfId="0" applyFont="1"/>
    <xf numFmtId="0" fontId="5" fillId="0" borderId="0" xfId="0" applyFont="1"/>
    <xf numFmtId="0" fontId="7" fillId="0" borderId="0" xfId="0" applyFont="1"/>
    <xf numFmtId="0" fontId="4" fillId="0" borderId="0" xfId="0" applyNumberFormat="1" applyFont="1"/>
    <xf numFmtId="0" fontId="8" fillId="0" borderId="0" xfId="0" applyFont="1"/>
    <xf numFmtId="0" fontId="8" fillId="0" borderId="3" xfId="0" applyFont="1" applyBorder="1"/>
    <xf numFmtId="0" fontId="8" fillId="0" borderId="0" xfId="0" applyFont="1" applyBorder="1"/>
    <xf numFmtId="165" fontId="0" fillId="0" borderId="0" xfId="0" applyNumberFormat="1" applyBorder="1" applyProtection="1"/>
    <xf numFmtId="0" fontId="3" fillId="0" borderId="0" xfId="0" applyFont="1"/>
    <xf numFmtId="0" fontId="0" fillId="0" borderId="0" xfId="0" applyAlignment="1"/>
    <xf numFmtId="0" fontId="2" fillId="0" borderId="0" xfId="0" applyFont="1" applyAlignment="1">
      <alignment vertical="center"/>
    </xf>
    <xf numFmtId="0" fontId="1" fillId="0" borderId="0" xfId="0" applyFont="1"/>
    <xf numFmtId="9" fontId="0" fillId="0" borderId="0" xfId="1" applyFont="1"/>
    <xf numFmtId="0" fontId="3" fillId="0" borderId="0" xfId="0" applyFont="1" applyAlignment="1">
      <alignment horizontal="right"/>
    </xf>
    <xf numFmtId="164" fontId="13" fillId="0" borderId="0" xfId="1" applyNumberFormat="1" applyFont="1"/>
    <xf numFmtId="164" fontId="12" fillId="0" borderId="0" xfId="1" applyNumberFormat="1" applyFont="1"/>
    <xf numFmtId="0" fontId="8" fillId="0" borderId="0" xfId="2" applyFont="1"/>
    <xf numFmtId="0" fontId="14" fillId="0" borderId="0" xfId="3" applyFont="1"/>
    <xf numFmtId="0" fontId="14" fillId="0" borderId="0" xfId="4" applyFont="1"/>
    <xf numFmtId="0" fontId="13" fillId="0" borderId="0" xfId="3" applyFont="1"/>
    <xf numFmtId="0" fontId="14" fillId="0" borderId="0" xfId="5" applyFont="1"/>
    <xf numFmtId="0" fontId="13" fillId="0" borderId="0" xfId="5" applyFont="1"/>
    <xf numFmtId="0" fontId="13" fillId="0" borderId="0" xfId="4" applyFont="1"/>
    <xf numFmtId="0" fontId="13" fillId="0" borderId="0" xfId="2" applyFont="1"/>
    <xf numFmtId="0" fontId="14" fillId="0" borderId="0" xfId="6" applyFont="1"/>
    <xf numFmtId="0" fontId="13" fillId="0" borderId="0" xfId="6" applyFont="1"/>
    <xf numFmtId="0" fontId="13" fillId="0" borderId="0" xfId="7" applyFont="1"/>
    <xf numFmtId="0" fontId="13" fillId="0" borderId="0" xfId="8" applyFont="1"/>
    <xf numFmtId="0" fontId="13" fillId="0" borderId="0" xfId="9" applyFont="1"/>
    <xf numFmtId="0" fontId="12" fillId="0" borderId="0" xfId="0" applyFont="1"/>
    <xf numFmtId="0" fontId="15" fillId="0" borderId="0" xfId="0" applyFont="1"/>
    <xf numFmtId="164" fontId="12" fillId="0" borderId="0" xfId="1" applyNumberFormat="1" applyFont="1" applyFill="1"/>
    <xf numFmtId="0" fontId="13" fillId="0" borderId="0" xfId="10" applyFont="1"/>
    <xf numFmtId="0" fontId="16" fillId="0" borderId="0" xfId="0" applyFont="1"/>
    <xf numFmtId="3" fontId="16" fillId="0" borderId="0" xfId="0" applyNumberFormat="1" applyFont="1"/>
    <xf numFmtId="0" fontId="17" fillId="0" borderId="0" xfId="0" applyFont="1" applyBorder="1"/>
    <xf numFmtId="0" fontId="16" fillId="0" borderId="0" xfId="0" applyFont="1" applyAlignment="1">
      <alignment horizontal="right"/>
    </xf>
    <xf numFmtId="0" fontId="18" fillId="0" borderId="0" xfId="0" applyFont="1" applyAlignment="1">
      <alignment horizontal="left"/>
    </xf>
    <xf numFmtId="164" fontId="0" fillId="0" borderId="0" xfId="0" applyNumberFormat="1"/>
    <xf numFmtId="0" fontId="19" fillId="0" borderId="0" xfId="0" applyFont="1" applyAlignment="1">
      <alignment horizontal="center" readingOrder="1"/>
    </xf>
    <xf numFmtId="0" fontId="20" fillId="0" borderId="0" xfId="0" applyFont="1"/>
    <xf numFmtId="0" fontId="16" fillId="0" borderId="0" xfId="0" applyFont="1" applyAlignment="1">
      <alignment horizontal="center"/>
    </xf>
    <xf numFmtId="0" fontId="16" fillId="0" borderId="0" xfId="0" applyNumberFormat="1" applyFont="1"/>
    <xf numFmtId="9" fontId="16" fillId="0" borderId="0" xfId="0" applyNumberFormat="1" applyFont="1"/>
    <xf numFmtId="166" fontId="16" fillId="0" borderId="0" xfId="0" applyNumberFormat="1" applyFont="1"/>
    <xf numFmtId="10" fontId="16" fillId="0" borderId="0" xfId="0" applyNumberFormat="1" applyFont="1"/>
    <xf numFmtId="167" fontId="16" fillId="0" borderId="0" xfId="0" applyNumberFormat="1" applyFont="1"/>
    <xf numFmtId="0" fontId="2" fillId="0" borderId="0" xfId="0" applyFont="1" applyProtection="1">
      <protection locked="0"/>
    </xf>
    <xf numFmtId="0" fontId="5"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0" fillId="0" borderId="0" xfId="0" applyAlignment="1" applyProtection="1">
      <protection locked="0"/>
    </xf>
    <xf numFmtId="0" fontId="3"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166" fontId="4" fillId="2" borderId="1" xfId="0" applyNumberFormat="1" applyFont="1" applyFill="1" applyBorder="1" applyAlignment="1" applyProtection="1">
      <alignment horizontal="center"/>
      <protection locked="0"/>
    </xf>
    <xf numFmtId="9" fontId="4" fillId="2" borderId="1" xfId="1" applyFont="1" applyFill="1" applyBorder="1" applyAlignment="1" applyProtection="1">
      <alignment horizontal="center"/>
      <protection locked="0"/>
    </xf>
    <xf numFmtId="0" fontId="2" fillId="0" borderId="0" xfId="0" applyFont="1" applyBorder="1" applyAlignment="1">
      <alignment vertical="center"/>
    </xf>
    <xf numFmtId="164" fontId="4" fillId="2" borderId="1" xfId="0" applyNumberFormat="1" applyFont="1" applyFill="1" applyBorder="1" applyAlignment="1">
      <alignment horizontal="center"/>
    </xf>
    <xf numFmtId="0" fontId="20" fillId="0" borderId="0" xfId="0" applyFont="1" applyAlignment="1">
      <alignment vertical="center"/>
    </xf>
    <xf numFmtId="0" fontId="22" fillId="0" borderId="0" xfId="0" applyFont="1"/>
    <xf numFmtId="0" fontId="23" fillId="5" borderId="0" xfId="0" applyFont="1" applyFill="1" applyAlignment="1">
      <alignment vertical="center" wrapText="1"/>
    </xf>
    <xf numFmtId="0" fontId="23" fillId="5" borderId="0" xfId="0" applyFont="1" applyFill="1" applyAlignment="1">
      <alignment wrapText="1"/>
    </xf>
    <xf numFmtId="0" fontId="6" fillId="0" borderId="0" xfId="0" applyFont="1" applyAlignment="1">
      <alignment horizontal="left" wrapText="1" indent="1"/>
    </xf>
    <xf numFmtId="0" fontId="3" fillId="0" borderId="0" xfId="0" applyFont="1" applyAlignment="1">
      <alignment horizontal="right" vertical="center" wrapText="1" indent="1"/>
    </xf>
    <xf numFmtId="0" fontId="3" fillId="0" borderId="0" xfId="0" applyFont="1" applyAlignment="1">
      <alignment horizontal="right" indent="1"/>
    </xf>
    <xf numFmtId="0" fontId="10" fillId="4" borderId="0" xfId="0" applyFont="1" applyFill="1" applyBorder="1" applyAlignment="1">
      <alignment horizontal="right" vertical="center" wrapText="1"/>
    </xf>
    <xf numFmtId="0" fontId="11" fillId="4" borderId="0" xfId="0" applyFont="1" applyFill="1" applyBorder="1" applyAlignment="1">
      <alignment horizontal="center" vertical="center"/>
    </xf>
    <xf numFmtId="3" fontId="9" fillId="4" borderId="4" xfId="0" applyNumberFormat="1" applyFont="1" applyFill="1" applyBorder="1" applyAlignment="1">
      <alignment horizontal="center" vertical="center"/>
    </xf>
    <xf numFmtId="0" fontId="9" fillId="4" borderId="5" xfId="0" applyFont="1" applyFill="1" applyBorder="1" applyAlignment="1">
      <alignment horizontal="center" vertical="center"/>
    </xf>
    <xf numFmtId="166" fontId="9" fillId="4" borderId="4" xfId="0" applyNumberFormat="1" applyFont="1" applyFill="1" applyBorder="1" applyAlignment="1">
      <alignment horizontal="center" vertical="center"/>
    </xf>
    <xf numFmtId="166" fontId="9" fillId="4" borderId="5" xfId="0" applyNumberFormat="1" applyFont="1" applyFill="1" applyBorder="1" applyAlignment="1">
      <alignment horizontal="center" vertical="center"/>
    </xf>
    <xf numFmtId="0" fontId="6" fillId="0" borderId="0" xfId="0" applyFont="1" applyAlignment="1">
      <alignment horizontal="right" wrapText="1"/>
    </xf>
    <xf numFmtId="0" fontId="21" fillId="0" borderId="0" xfId="0" applyFont="1" applyAlignment="1">
      <alignment horizontal="right" wrapText="1"/>
    </xf>
  </cellXfs>
  <cellStyles count="11">
    <cellStyle name="Normal" xfId="0" builtinId="0"/>
    <cellStyle name="Normal_10 MW AE ppt nC4-125 July 06" xfId="7"/>
    <cellStyle name="Normal_10MW AE ppts C3-100 July 06" xfId="5"/>
    <cellStyle name="Normal_10MW AE ppts C3-125 July 06" xfId="6"/>
    <cellStyle name="Normal_10mW AE ppts iC4-100 July 06" xfId="3"/>
    <cellStyle name="Normal_10MW AE ppts iC4-125 July 06" xfId="8"/>
    <cellStyle name="Normal_10MW AE ppts iC4-175 Nov07" xfId="10"/>
    <cellStyle name="Normal_10MW AE ppts iC5-100 July 06" xfId="2"/>
    <cellStyle name="Normal_10MW AE ppts iC5-125 July 06" xfId="9"/>
    <cellStyle name="Normal_10MW AE ppts nC4-100 July 06" xfId="4"/>
    <cellStyle name="Percent" xfId="1" builtinId="5"/>
  </cellStyles>
  <dxfs count="5">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ndense val="0"/>
        <extend val="0"/>
        <color indexed="9"/>
      </font>
      <fill>
        <patternFill patternType="none">
          <bgColor indexed="65"/>
        </patternFill>
      </fill>
      <border>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smoothMarker"/>
        <c:ser>
          <c:idx val="0"/>
          <c:order val="0"/>
          <c:tx>
            <c:strRef>
              <c:f>'plant performance'!$D$20</c:f>
              <c:strCache>
                <c:ptCount val="1"/>
                <c:pt idx="0">
                  <c:v>2nd law</c:v>
                </c:pt>
              </c:strCache>
            </c:strRef>
          </c:tx>
          <c:spPr>
            <a:ln w="31750">
              <a:solidFill>
                <a:schemeClr val="accent1"/>
              </a:solidFill>
            </a:ln>
          </c:spPr>
          <c:marker>
            <c:symbol val="diamond"/>
            <c:size val="5"/>
            <c:spPr>
              <a:solidFill>
                <a:sysClr val="window" lastClr="FFFFFF"/>
              </a:solidFill>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performance'!$D$21:$D$307</c:f>
              <c:numCache>
                <c:formatCode>General</c:formatCode>
                <c:ptCount val="287"/>
                <c:pt idx="0">
                  <c:v>0.14305225312500003</c:v>
                </c:pt>
                <c:pt idx="1">
                  <c:v>0.25079859999999998</c:v>
                </c:pt>
                <c:pt idx="2">
                  <c:v>0.3281950468749999</c:v>
                </c:pt>
                <c:pt idx="3">
                  <c:v>0.38039827500000012</c:v>
                </c:pt>
                <c:pt idx="4">
                  <c:v>0.41256496562500011</c:v>
                </c:pt>
                <c:pt idx="5">
                  <c:v>0.42985179999999978</c:v>
                </c:pt>
                <c:pt idx="6">
                  <c:v>0.43741545937499993</c:v>
                </c:pt>
                <c:pt idx="7">
                  <c:v>0.440412625</c:v>
                </c:pt>
                <c:pt idx="8">
                  <c:v>0.44399997812500014</c:v>
                </c:pt>
              </c:numCache>
            </c:numRef>
          </c:yVal>
          <c:smooth val="1"/>
        </c:ser>
        <c:ser>
          <c:idx val="1"/>
          <c:order val="1"/>
          <c:tx>
            <c:strRef>
              <c:f>'plant performance'!$E$20</c:f>
              <c:strCache>
                <c:ptCount val="1"/>
                <c:pt idx="0">
                  <c:v>Aspen</c:v>
                </c:pt>
              </c:strCache>
            </c:strRef>
          </c:tx>
          <c:spPr>
            <a:ln>
              <a:noFill/>
            </a:ln>
          </c:spPr>
          <c:marker>
            <c:symbol val="square"/>
            <c:size val="6"/>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performance'!$E$21:$E$307</c:f>
              <c:numCache>
                <c:formatCode>General</c:formatCode>
                <c:ptCount val="287"/>
                <c:pt idx="58" formatCode="0.0%">
                  <c:v>0.22264067675268281</c:v>
                </c:pt>
                <c:pt idx="59" formatCode="0.0%">
                  <c:v>0.21157373068965027</c:v>
                </c:pt>
                <c:pt idx="60" formatCode="0.0%">
                  <c:v>0.20727047644881424</c:v>
                </c:pt>
                <c:pt idx="61" formatCode="0.0%">
                  <c:v>0.10645294205982932</c:v>
                </c:pt>
                <c:pt idx="62" formatCode="0.0%">
                  <c:v>0.10606909252683047</c:v>
                </c:pt>
                <c:pt idx="63" formatCode="0.0%">
                  <c:v>9.6475063975326722E-2</c:v>
                </c:pt>
                <c:pt idx="64" formatCode="0.0%">
                  <c:v>0.15770068717951669</c:v>
                </c:pt>
                <c:pt idx="65" formatCode="0.0%">
                  <c:v>0.1546600804358455</c:v>
                </c:pt>
                <c:pt idx="66" formatCode="0.0%">
                  <c:v>0.15306842564244846</c:v>
                </c:pt>
                <c:pt idx="67" formatCode="0.0%">
                  <c:v>6.2183115552511145E-2</c:v>
                </c:pt>
                <c:pt idx="68" formatCode="0.0%">
                  <c:v>5.8050273980342716E-2</c:v>
                </c:pt>
                <c:pt idx="69" formatCode="0.0%">
                  <c:v>4.7292826140164404E-2</c:v>
                </c:pt>
                <c:pt idx="70" formatCode="0.0%">
                  <c:v>0.10163104323462759</c:v>
                </c:pt>
                <c:pt idx="71" formatCode="0.0%">
                  <c:v>9.8547073471641808E-2</c:v>
                </c:pt>
                <c:pt idx="72" formatCode="0.0%">
                  <c:v>9.265953135857255E-2</c:v>
                </c:pt>
                <c:pt idx="73" formatCode="0.0%">
                  <c:v>0.18767088058710801</c:v>
                </c:pt>
                <c:pt idx="74" formatCode="0.0%">
                  <c:v>0.18090982764799293</c:v>
                </c:pt>
                <c:pt idx="75" formatCode="0.0%">
                  <c:v>0.17815029963369627</c:v>
                </c:pt>
                <c:pt idx="77" formatCode="0.0%">
                  <c:v>0.30254046986594146</c:v>
                </c:pt>
                <c:pt idx="78" formatCode="0.0%">
                  <c:v>0.30240016605229569</c:v>
                </c:pt>
                <c:pt idx="79" formatCode="0.0%">
                  <c:v>0.29981245797129041</c:v>
                </c:pt>
                <c:pt idx="80" formatCode="0.0%">
                  <c:v>0.18412600712712873</c:v>
                </c:pt>
                <c:pt idx="81" formatCode="0.0%">
                  <c:v>0.1793218030709805</c:v>
                </c:pt>
                <c:pt idx="82" formatCode="0.0%">
                  <c:v>0.17805869856106282</c:v>
                </c:pt>
                <c:pt idx="83" formatCode="0.0%">
                  <c:v>0.24153604064167433</c:v>
                </c:pt>
                <c:pt idx="84" formatCode="0.0%">
                  <c:v>0.24152175368168313</c:v>
                </c:pt>
                <c:pt idx="85" formatCode="0.0%">
                  <c:v>0.23961379410924372</c:v>
                </c:pt>
                <c:pt idx="86" formatCode="0.0%">
                  <c:v>0.15617108987320455</c:v>
                </c:pt>
                <c:pt idx="87" formatCode="0.0%">
                  <c:v>0.15571578854316842</c:v>
                </c:pt>
                <c:pt idx="88" formatCode="0.0%">
                  <c:v>0.14612449368095681</c:v>
                </c:pt>
                <c:pt idx="89" formatCode="0.0%">
                  <c:v>0.21729963909267136</c:v>
                </c:pt>
                <c:pt idx="90" formatCode="0.0%">
                  <c:v>0.18786546339528892</c:v>
                </c:pt>
                <c:pt idx="91" formatCode="0.0%">
                  <c:v>0.18633722505978306</c:v>
                </c:pt>
                <c:pt idx="92" formatCode="0.0%">
                  <c:v>0.11771249444770894</c:v>
                </c:pt>
                <c:pt idx="93" formatCode="0.0%">
                  <c:v>0.11699601480270609</c:v>
                </c:pt>
                <c:pt idx="94" formatCode="0.0%">
                  <c:v>0.11419554316161273</c:v>
                </c:pt>
                <c:pt idx="96" formatCode="0.0%">
                  <c:v>0.36549425044885725</c:v>
                </c:pt>
                <c:pt idx="97" formatCode="0.0%">
                  <c:v>0.36541854763363446</c:v>
                </c:pt>
                <c:pt idx="98" formatCode="0.0%">
                  <c:v>0.36262691972931738</c:v>
                </c:pt>
                <c:pt idx="99" formatCode="0.0%">
                  <c:v>0.31640230354493842</c:v>
                </c:pt>
                <c:pt idx="100" formatCode="0.0%">
                  <c:v>0.31572101612721343</c:v>
                </c:pt>
                <c:pt idx="101" formatCode="0.0%">
                  <c:v>0.31522672238077748</c:v>
                </c:pt>
                <c:pt idx="102" formatCode="0.0%">
                  <c:v>0.19647666087865837</c:v>
                </c:pt>
                <c:pt idx="103" formatCode="0.0%">
                  <c:v>0.18631836523934456</c:v>
                </c:pt>
                <c:pt idx="104" formatCode="0.0%">
                  <c:v>0.1860700588965139</c:v>
                </c:pt>
                <c:pt idx="105" formatCode="0.0%">
                  <c:v>0.29035143416247294</c:v>
                </c:pt>
                <c:pt idx="106" formatCode="0.0%">
                  <c:v>0.29028685380494901</c:v>
                </c:pt>
                <c:pt idx="107" formatCode="0.0%">
                  <c:v>0.28786389275399071</c:v>
                </c:pt>
                <c:pt idx="108" formatCode="0.0%">
                  <c:v>0.33733341563015673</c:v>
                </c:pt>
                <c:pt idx="109" formatCode="0.0%">
                  <c:v>0.33651845828956578</c:v>
                </c:pt>
                <c:pt idx="110" formatCode="0.0%">
                  <c:v>0.3363680608658573</c:v>
                </c:pt>
                <c:pt idx="111" formatCode="0.0%">
                  <c:v>0.16320603241996071</c:v>
                </c:pt>
                <c:pt idx="112" formatCode="0.0%">
                  <c:v>0.15833854664322264</c:v>
                </c:pt>
                <c:pt idx="113" formatCode="0.0%">
                  <c:v>0.14126137016564436</c:v>
                </c:pt>
                <c:pt idx="115" formatCode="0.0%">
                  <c:v>0.4979425636377745</c:v>
                </c:pt>
                <c:pt idx="116" formatCode="0.0%">
                  <c:v>0.49778452676445917</c:v>
                </c:pt>
                <c:pt idx="117" formatCode="0.0%">
                  <c:v>0.49735610899122085</c:v>
                </c:pt>
                <c:pt idx="118" formatCode="0.0%">
                  <c:v>0.45125041402020727</c:v>
                </c:pt>
                <c:pt idx="119" formatCode="0.0%">
                  <c:v>0.4510674736612254</c:v>
                </c:pt>
                <c:pt idx="120" formatCode="0.0%">
                  <c:v>0.45098851621656944</c:v>
                </c:pt>
                <c:pt idx="121" formatCode="0.0%">
                  <c:v>0.40610463593942026</c:v>
                </c:pt>
                <c:pt idx="122" formatCode="0.0%">
                  <c:v>0.4055371564022594</c:v>
                </c:pt>
                <c:pt idx="123" formatCode="0.0%">
                  <c:v>0.40527211085580789</c:v>
                </c:pt>
                <c:pt idx="124" formatCode="0.0%">
                  <c:v>0.43223872794374951</c:v>
                </c:pt>
                <c:pt idx="125" formatCode="0.0%">
                  <c:v>0.43205352104328437</c:v>
                </c:pt>
                <c:pt idx="126" formatCode="0.0%">
                  <c:v>0.43203346566948136</c:v>
                </c:pt>
                <c:pt idx="127" formatCode="0.0%">
                  <c:v>0.38533807525868435</c:v>
                </c:pt>
                <c:pt idx="128" formatCode="0.0%">
                  <c:v>0.38525230221823825</c:v>
                </c:pt>
                <c:pt idx="129" formatCode="0.0%">
                  <c:v>0.38484158092130943</c:v>
                </c:pt>
                <c:pt idx="130" formatCode="0.0%">
                  <c:v>0.34039196601109661</c:v>
                </c:pt>
                <c:pt idx="131" formatCode="0.0%">
                  <c:v>0.33495587574260177</c:v>
                </c:pt>
                <c:pt idx="132" formatCode="0.0%">
                  <c:v>0.29189760968122913</c:v>
                </c:pt>
                <c:pt idx="133" formatCode="0.0%">
                  <c:v>0.23657177299984467</c:v>
                </c:pt>
                <c:pt idx="134" formatCode="0.0%">
                  <c:v>0.23599754382911495</c:v>
                </c:pt>
                <c:pt idx="135" formatCode="0.0%">
                  <c:v>0.2311385062291671</c:v>
                </c:pt>
                <c:pt idx="136" formatCode="0.0%">
                  <c:v>0.27052361403122238</c:v>
                </c:pt>
                <c:pt idx="137" formatCode="0.0%">
                  <c:v>0.26788712098999251</c:v>
                </c:pt>
                <c:pt idx="138" formatCode="0.0%">
                  <c:v>0.2628985263762304</c:v>
                </c:pt>
                <c:pt idx="139" formatCode="0.0%">
                  <c:v>0.22747227552704843</c:v>
                </c:pt>
                <c:pt idx="140" formatCode="0.0%">
                  <c:v>0.21656917021658381</c:v>
                </c:pt>
                <c:pt idx="141" formatCode="0.0%">
                  <c:v>0.21562758932753032</c:v>
                </c:pt>
                <c:pt idx="143" formatCode="0.0%">
                  <c:v>0.45227307445180659</c:v>
                </c:pt>
                <c:pt idx="144" formatCode="0.0%">
                  <c:v>0.45213621709592622</c:v>
                </c:pt>
                <c:pt idx="145" formatCode="0.0%">
                  <c:v>0.44977400378212856</c:v>
                </c:pt>
                <c:pt idx="146" formatCode="0.0%">
                  <c:v>0.39854993574581826</c:v>
                </c:pt>
                <c:pt idx="147" formatCode="0.0%">
                  <c:v>0.39123318429404502</c:v>
                </c:pt>
                <c:pt idx="148" formatCode="0.0%">
                  <c:v>0.38594170863905886</c:v>
                </c:pt>
                <c:pt idx="149" formatCode="0.0%">
                  <c:v>0.38704065153641598</c:v>
                </c:pt>
                <c:pt idx="150" formatCode="0.0%">
                  <c:v>0.36266293745295741</c:v>
                </c:pt>
                <c:pt idx="151" formatCode="0.0%">
                  <c:v>0.36092493750859117</c:v>
                </c:pt>
                <c:pt idx="152" formatCode="0.0%">
                  <c:v>0.42072796090153575</c:v>
                </c:pt>
                <c:pt idx="153" formatCode="0.0%">
                  <c:v>0.41462745677336116</c:v>
                </c:pt>
                <c:pt idx="154" formatCode="0.0%">
                  <c:v>0.41246719875827204</c:v>
                </c:pt>
                <c:pt idx="155" formatCode="0.0%">
                  <c:v>0.41223112898908509</c:v>
                </c:pt>
                <c:pt idx="156" formatCode="0.0%">
                  <c:v>0.39976591237434178</c:v>
                </c:pt>
                <c:pt idx="157" formatCode="0.0%">
                  <c:v>0.39649987528699993</c:v>
                </c:pt>
                <c:pt idx="158" formatCode="0.0%">
                  <c:v>0.36808595890040308</c:v>
                </c:pt>
                <c:pt idx="159" formatCode="0.0%">
                  <c:v>0.35254391522931672</c:v>
                </c:pt>
                <c:pt idx="160" formatCode="0.0%">
                  <c:v>0.35209400754258408</c:v>
                </c:pt>
                <c:pt idx="161" formatCode="0.0%">
                  <c:v>0.32877789237200172</c:v>
                </c:pt>
                <c:pt idx="162" formatCode="0.0%">
                  <c:v>0.3280804184456082</c:v>
                </c:pt>
                <c:pt idx="163" formatCode="0.0%">
                  <c:v>0.3265305413439511</c:v>
                </c:pt>
                <c:pt idx="164" formatCode="0.0%">
                  <c:v>0.26852520591788825</c:v>
                </c:pt>
                <c:pt idx="165" formatCode="0.0%">
                  <c:v>0.26212043218421271</c:v>
                </c:pt>
                <c:pt idx="166" formatCode="0.0%">
                  <c:v>0.24786015318791196</c:v>
                </c:pt>
                <c:pt idx="167" formatCode="0.0%">
                  <c:v>0.22446928741571617</c:v>
                </c:pt>
                <c:pt idx="168" formatCode="0.0%">
                  <c:v>0.21081699721199443</c:v>
                </c:pt>
                <c:pt idx="169" formatCode="0.0%">
                  <c:v>0.1906504400363874</c:v>
                </c:pt>
                <c:pt idx="171" formatCode="0.0%">
                  <c:v>0.47504745705224377</c:v>
                </c:pt>
                <c:pt idx="172" formatCode="0.0%">
                  <c:v>0.47493239322967945</c:v>
                </c:pt>
                <c:pt idx="173" formatCode="0.0%">
                  <c:v>0.47380200065938144</c:v>
                </c:pt>
                <c:pt idx="174" formatCode="0.0%">
                  <c:v>0.45159456699205092</c:v>
                </c:pt>
                <c:pt idx="175" formatCode="0.0%">
                  <c:v>0.44985131877078843</c:v>
                </c:pt>
                <c:pt idx="176" formatCode="0.0%">
                  <c:v>0.4497006302265204</c:v>
                </c:pt>
                <c:pt idx="177" formatCode="0.0%">
                  <c:v>0.43081183283778413</c:v>
                </c:pt>
                <c:pt idx="178" formatCode="0.0%">
                  <c:v>0.43079050972520788</c:v>
                </c:pt>
                <c:pt idx="179" formatCode="0.0%">
                  <c:v>0.42972281333028389</c:v>
                </c:pt>
                <c:pt idx="180" formatCode="0.0%">
                  <c:v>0.40970658987133973</c:v>
                </c:pt>
                <c:pt idx="181" formatCode="0.0%">
                  <c:v>0.40423435741514291</c:v>
                </c:pt>
                <c:pt idx="182" formatCode="0.0%">
                  <c:v>0.39346410442244178</c:v>
                </c:pt>
                <c:pt idx="183" formatCode="0.0%">
                  <c:v>0.42551372895906564</c:v>
                </c:pt>
                <c:pt idx="184" formatCode="0.0%">
                  <c:v>0.42548420948758364</c:v>
                </c:pt>
                <c:pt idx="185" formatCode="0.0%">
                  <c:v>0.42462622041874276</c:v>
                </c:pt>
                <c:pt idx="186" formatCode="0.0%">
                  <c:v>0.40568378755890633</c:v>
                </c:pt>
                <c:pt idx="187" formatCode="0.0%">
                  <c:v>0.40556860464358357</c:v>
                </c:pt>
                <c:pt idx="188" formatCode="0.0%">
                  <c:v>0.40484088485061676</c:v>
                </c:pt>
                <c:pt idx="189" formatCode="0.0%">
                  <c:v>0.3855541431554691</c:v>
                </c:pt>
                <c:pt idx="190" formatCode="0.0%">
                  <c:v>0.38159539409089815</c:v>
                </c:pt>
                <c:pt idx="191" formatCode="0.0%">
                  <c:v>0.37253684890577043</c:v>
                </c:pt>
                <c:pt idx="192" formatCode="0.0%">
                  <c:v>0.39916781895542935</c:v>
                </c:pt>
                <c:pt idx="193" formatCode="0.0%">
                  <c:v>0.39901193309414379</c:v>
                </c:pt>
                <c:pt idx="194" formatCode="0.0%">
                  <c:v>0.39892386209676917</c:v>
                </c:pt>
                <c:pt idx="195" formatCode="0.0%">
                  <c:v>0.35672099281876535</c:v>
                </c:pt>
                <c:pt idx="196" formatCode="0.0%">
                  <c:v>0.34969556007553687</c:v>
                </c:pt>
                <c:pt idx="197" formatCode="0.0%">
                  <c:v>0.33554119321380332</c:v>
                </c:pt>
                <c:pt idx="198" formatCode="0.0%">
                  <c:v>0.37085159834672565</c:v>
                </c:pt>
                <c:pt idx="199" formatCode="0.0%">
                  <c:v>0.36970461880168687</c:v>
                </c:pt>
                <c:pt idx="200" formatCode="0.0%">
                  <c:v>0.3639053608680401</c:v>
                </c:pt>
                <c:pt idx="201" formatCode="0.0%">
                  <c:v>0.34371871592737596</c:v>
                </c:pt>
                <c:pt idx="202" formatCode="0.0%">
                  <c:v>0.3315772745182996</c:v>
                </c:pt>
                <c:pt idx="203" formatCode="0.0%">
                  <c:v>0.32218800030946154</c:v>
                </c:pt>
                <c:pt idx="205">
                  <c:v>0.44111936041314354</c:v>
                </c:pt>
                <c:pt idx="206">
                  <c:v>0.44030383535629425</c:v>
                </c:pt>
                <c:pt idx="207">
                  <c:v>0.44001986645253827</c:v>
                </c:pt>
                <c:pt idx="208">
                  <c:v>0.31112382960389234</c:v>
                </c:pt>
                <c:pt idx="209">
                  <c:v>0.31092665033917821</c:v>
                </c:pt>
                <c:pt idx="210">
                  <c:v>0.30988494366319552</c:v>
                </c:pt>
                <c:pt idx="211">
                  <c:v>0.34450976838159225</c:v>
                </c:pt>
                <c:pt idx="212">
                  <c:v>0.34342051672356649</c:v>
                </c:pt>
                <c:pt idx="213">
                  <c:v>0.3433028185351199</c:v>
                </c:pt>
                <c:pt idx="214">
                  <c:v>0.37029115929019579</c:v>
                </c:pt>
                <c:pt idx="215">
                  <c:v>0.36966040510941517</c:v>
                </c:pt>
                <c:pt idx="216">
                  <c:v>0.369239388764452</c:v>
                </c:pt>
                <c:pt idx="217">
                  <c:v>0.39441485330788478</c:v>
                </c:pt>
                <c:pt idx="218">
                  <c:v>0.39397272295896479</c:v>
                </c:pt>
                <c:pt idx="219">
                  <c:v>0.39303395197735574</c:v>
                </c:pt>
                <c:pt idx="220">
                  <c:v>0.41714147124008466</c:v>
                </c:pt>
                <c:pt idx="221">
                  <c:v>0.4165761902638892</c:v>
                </c:pt>
                <c:pt idx="222">
                  <c:v>0.41635525408444762</c:v>
                </c:pt>
                <c:pt idx="224">
                  <c:v>0.38466255035961783</c:v>
                </c:pt>
                <c:pt idx="225">
                  <c:v>0.38449023045238701</c:v>
                </c:pt>
                <c:pt idx="226">
                  <c:v>0.38215474243308645</c:v>
                </c:pt>
                <c:pt idx="227">
                  <c:v>0.36953995740883716</c:v>
                </c:pt>
                <c:pt idx="228">
                  <c:v>0.36842303295721818</c:v>
                </c:pt>
                <c:pt idx="229">
                  <c:v>0.36533315203103095</c:v>
                </c:pt>
                <c:pt idx="230">
                  <c:v>0.35270001900730558</c:v>
                </c:pt>
                <c:pt idx="231">
                  <c:v>0.3495623015927764</c:v>
                </c:pt>
                <c:pt idx="232">
                  <c:v>0.34829623877175303</c:v>
                </c:pt>
                <c:pt idx="233">
                  <c:v>0.33358806388324341</c:v>
                </c:pt>
                <c:pt idx="234">
                  <c:v>0.33299401955553526</c:v>
                </c:pt>
                <c:pt idx="235">
                  <c:v>0.33073609979985713</c:v>
                </c:pt>
                <c:pt idx="236">
                  <c:v>0.31784171709786102</c:v>
                </c:pt>
                <c:pt idx="237">
                  <c:v>0.31582179755057332</c:v>
                </c:pt>
                <c:pt idx="238">
                  <c:v>0.31548201408179805</c:v>
                </c:pt>
                <c:pt idx="239">
                  <c:v>0.4009969046575359</c:v>
                </c:pt>
                <c:pt idx="240">
                  <c:v>0.40094315651264539</c:v>
                </c:pt>
                <c:pt idx="241">
                  <c:v>0.39400866939342155</c:v>
                </c:pt>
                <c:pt idx="243">
                  <c:v>0.36353852415190951</c:v>
                </c:pt>
                <c:pt idx="244">
                  <c:v>0.3631760035005549</c:v>
                </c:pt>
                <c:pt idx="245">
                  <c:v>0.3631600084844418</c:v>
                </c:pt>
                <c:pt idx="246">
                  <c:v>0.28480410501908726</c:v>
                </c:pt>
                <c:pt idx="247">
                  <c:v>0.28265140607826406</c:v>
                </c:pt>
                <c:pt idx="248">
                  <c:v>0.27821500881224392</c:v>
                </c:pt>
                <c:pt idx="249">
                  <c:v>0.30792192681201042</c:v>
                </c:pt>
                <c:pt idx="250">
                  <c:v>0.30723568338008195</c:v>
                </c:pt>
                <c:pt idx="251">
                  <c:v>0.30686261811969773</c:v>
                </c:pt>
                <c:pt idx="252">
                  <c:v>0.31839349006409218</c:v>
                </c:pt>
                <c:pt idx="253">
                  <c:v>0.31784480135626136</c:v>
                </c:pt>
                <c:pt idx="254">
                  <c:v>0.31748527665598553</c:v>
                </c:pt>
                <c:pt idx="255">
                  <c:v>0.32874018137289512</c:v>
                </c:pt>
                <c:pt idx="256">
                  <c:v>0.32823246260237915</c:v>
                </c:pt>
                <c:pt idx="257">
                  <c:v>0.32801399093223177</c:v>
                </c:pt>
                <c:pt idx="258">
                  <c:v>0.33948260677937175</c:v>
                </c:pt>
                <c:pt idx="259">
                  <c:v>0.33896781259601727</c:v>
                </c:pt>
                <c:pt idx="260">
                  <c:v>0.33892701317349327</c:v>
                </c:pt>
                <c:pt idx="261">
                  <c:v>0.35080383294082723</c:v>
                </c:pt>
                <c:pt idx="262">
                  <c:v>0.3503785967012048</c:v>
                </c:pt>
                <c:pt idx="263">
                  <c:v>0.35037748794464468</c:v>
                </c:pt>
              </c:numCache>
            </c:numRef>
          </c:yVal>
          <c:smooth val="1"/>
        </c:ser>
        <c:ser>
          <c:idx val="2"/>
          <c:order val="2"/>
          <c:tx>
            <c:strRef>
              <c:f>'plant performance'!$F$20</c:f>
              <c:strCache>
                <c:ptCount val="1"/>
                <c:pt idx="0">
                  <c:v>Aspen recup</c:v>
                </c:pt>
              </c:strCache>
            </c:strRef>
          </c:tx>
          <c:spPr>
            <a:ln>
              <a:noFill/>
            </a:ln>
          </c:spPr>
          <c:marker>
            <c:symbol val="square"/>
            <c:size val="4"/>
            <c:spPr>
              <a:solidFill>
                <a:sysClr val="window" lastClr="FFFFFF"/>
              </a:solidFill>
              <a:ln>
                <a:solidFill>
                  <a:srgbClr val="C00000"/>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performance'!$F$21:$F$307</c:f>
              <c:numCache>
                <c:formatCode>General</c:formatCode>
                <c:ptCount val="287"/>
                <c:pt idx="205">
                  <c:v>0.502767113354322</c:v>
                </c:pt>
                <c:pt idx="206">
                  <c:v>0.50179073448373845</c:v>
                </c:pt>
                <c:pt idx="207">
                  <c:v>0.5016958475940535</c:v>
                </c:pt>
                <c:pt idx="208">
                  <c:v>0.31092665033917821</c:v>
                </c:pt>
                <c:pt idx="209">
                  <c:v>0.30988494366319552</c:v>
                </c:pt>
                <c:pt idx="210">
                  <c:v>0.30898714382361053</c:v>
                </c:pt>
                <c:pt idx="211">
                  <c:v>0.34450976838159225</c:v>
                </c:pt>
                <c:pt idx="212">
                  <c:v>0.34443340685682744</c:v>
                </c:pt>
                <c:pt idx="213">
                  <c:v>0.34365199017399201</c:v>
                </c:pt>
                <c:pt idx="214">
                  <c:v>0.38046316188437385</c:v>
                </c:pt>
                <c:pt idx="215">
                  <c:v>0.37951426904050667</c:v>
                </c:pt>
                <c:pt idx="216">
                  <c:v>0.37842173762204756</c:v>
                </c:pt>
                <c:pt idx="217">
                  <c:v>0.42310147109412261</c:v>
                </c:pt>
                <c:pt idx="218">
                  <c:v>0.41736856214071794</c:v>
                </c:pt>
                <c:pt idx="219">
                  <c:v>0.41709494025025878</c:v>
                </c:pt>
                <c:pt idx="220">
                  <c:v>0.46067474460667718</c:v>
                </c:pt>
                <c:pt idx="221">
                  <c:v>0.45932571617599821</c:v>
                </c:pt>
                <c:pt idx="222">
                  <c:v>0.45742655134233268</c:v>
                </c:pt>
                <c:pt idx="224">
                  <c:v>0.46119486997732639</c:v>
                </c:pt>
                <c:pt idx="225">
                  <c:v>0.46042840437100646</c:v>
                </c:pt>
                <c:pt idx="226">
                  <c:v>0.46014233700416224</c:v>
                </c:pt>
                <c:pt idx="227">
                  <c:v>0.42808116296895898</c:v>
                </c:pt>
                <c:pt idx="228">
                  <c:v>0.42738884131669103</c:v>
                </c:pt>
                <c:pt idx="229">
                  <c:v>0.4271259049734662</c:v>
                </c:pt>
                <c:pt idx="230">
                  <c:v>0.39618778563918844</c:v>
                </c:pt>
                <c:pt idx="231">
                  <c:v>0.39314538380475617</c:v>
                </c:pt>
                <c:pt idx="232">
                  <c:v>0.39225601554105055</c:v>
                </c:pt>
                <c:pt idx="233">
                  <c:v>0.3580181821809455</c:v>
                </c:pt>
                <c:pt idx="234">
                  <c:v>0.35639353113251215</c:v>
                </c:pt>
                <c:pt idx="235">
                  <c:v>0.35551620323130817</c:v>
                </c:pt>
                <c:pt idx="236">
                  <c:v>0.32111043120174099</c:v>
                </c:pt>
                <c:pt idx="237">
                  <c:v>0.32106618693003713</c:v>
                </c:pt>
                <c:pt idx="238">
                  <c:v>0.32070642827718782</c:v>
                </c:pt>
                <c:pt idx="239">
                  <c:v>0.49797048453732784</c:v>
                </c:pt>
                <c:pt idx="240">
                  <c:v>0.49720217009144257</c:v>
                </c:pt>
                <c:pt idx="241">
                  <c:v>0.49692971725872837</c:v>
                </c:pt>
                <c:pt idx="243">
                  <c:v>0.4897243371074218</c:v>
                </c:pt>
                <c:pt idx="244">
                  <c:v>0.48793481855423321</c:v>
                </c:pt>
                <c:pt idx="245">
                  <c:v>0.4860820111851748</c:v>
                </c:pt>
                <c:pt idx="246">
                  <c:v>0.30908771110995065</c:v>
                </c:pt>
                <c:pt idx="247">
                  <c:v>0.30850714518553829</c:v>
                </c:pt>
                <c:pt idx="248">
                  <c:v>0.30668455208841627</c:v>
                </c:pt>
                <c:pt idx="249">
                  <c:v>0.35631045683087376</c:v>
                </c:pt>
                <c:pt idx="250">
                  <c:v>0.35365465723345407</c:v>
                </c:pt>
                <c:pt idx="251">
                  <c:v>0.35331339020869007</c:v>
                </c:pt>
                <c:pt idx="252">
                  <c:v>0.38095438033460394</c:v>
                </c:pt>
                <c:pt idx="253">
                  <c:v>0.37960128210557859</c:v>
                </c:pt>
                <c:pt idx="254">
                  <c:v>0.37657330079347667</c:v>
                </c:pt>
                <c:pt idx="255">
                  <c:v>0.40451471347545481</c:v>
                </c:pt>
                <c:pt idx="256">
                  <c:v>0.40242159286697254</c:v>
                </c:pt>
                <c:pt idx="257">
                  <c:v>0.40185506793565051</c:v>
                </c:pt>
                <c:pt idx="258">
                  <c:v>0.42994646316119056</c:v>
                </c:pt>
                <c:pt idx="259">
                  <c:v>0.42897539053758732</c:v>
                </c:pt>
                <c:pt idx="260">
                  <c:v>0.42804441902068108</c:v>
                </c:pt>
                <c:pt idx="261">
                  <c:v>0.45845647770350167</c:v>
                </c:pt>
                <c:pt idx="262">
                  <c:v>0.45735368956143235</c:v>
                </c:pt>
                <c:pt idx="263">
                  <c:v>0.45420316829652002</c:v>
                </c:pt>
              </c:numCache>
            </c:numRef>
          </c:yVal>
          <c:smooth val="1"/>
        </c:ser>
        <c:ser>
          <c:idx val="3"/>
          <c:order val="3"/>
          <c:tx>
            <c:strRef>
              <c:f>'plant performance'!$G$20</c:f>
              <c:strCache>
                <c:ptCount val="1"/>
                <c:pt idx="0">
                  <c:v>flash</c:v>
                </c:pt>
              </c:strCache>
            </c:strRef>
          </c:tx>
          <c:spPr>
            <a:ln>
              <a:noFill/>
            </a:ln>
          </c:spPr>
          <c:marker>
            <c:symbol val="triangle"/>
            <c:size val="7"/>
            <c:spPr>
              <a:solidFill>
                <a:schemeClr val="accent3"/>
              </a:solidFill>
              <a:ln>
                <a:solidFill>
                  <a:schemeClr val="accent3"/>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performance'!$G$21:$G$307</c:f>
              <c:numCache>
                <c:formatCode>General</c:formatCode>
                <c:ptCount val="287"/>
                <c:pt idx="35">
                  <c:v>0.21651981848096213</c:v>
                </c:pt>
                <c:pt idx="36">
                  <c:v>0.24079109353037609</c:v>
                </c:pt>
                <c:pt idx="37">
                  <c:v>0.30089628343927283</c:v>
                </c:pt>
                <c:pt idx="38">
                  <c:v>0.32777066859037329</c:v>
                </c:pt>
                <c:pt idx="39">
                  <c:v>0.35053611599857132</c:v>
                </c:pt>
                <c:pt idx="40">
                  <c:v>0.37764624336534841</c:v>
                </c:pt>
                <c:pt idx="41">
                  <c:v>0.36914426601018663</c:v>
                </c:pt>
                <c:pt idx="42">
                  <c:v>0.39699656973153774</c:v>
                </c:pt>
                <c:pt idx="43">
                  <c:v>0.37559507228077338</c:v>
                </c:pt>
                <c:pt idx="44">
                  <c:v>0.40430492443194621</c:v>
                </c:pt>
                <c:pt idx="45">
                  <c:v>0.38003869240840421</c:v>
                </c:pt>
                <c:pt idx="46">
                  <c:v>0.40921685993659446</c:v>
                </c:pt>
                <c:pt idx="47">
                  <c:v>0.38345400466816615</c:v>
                </c:pt>
                <c:pt idx="48">
                  <c:v>0.41294421111555218</c:v>
                </c:pt>
                <c:pt idx="49">
                  <c:v>0.39121027784417761</c:v>
                </c:pt>
                <c:pt idx="50">
                  <c:v>0.42148801248173928</c:v>
                </c:pt>
                <c:pt idx="51">
                  <c:v>9.6267364173023576E-2</c:v>
                </c:pt>
                <c:pt idx="52">
                  <c:v>0.1146372861107279</c:v>
                </c:pt>
                <c:pt idx="53">
                  <c:v>2.4735095555170721E-2</c:v>
                </c:pt>
                <c:pt idx="54">
                  <c:v>4.1584553639447949E-2</c:v>
                </c:pt>
                <c:pt idx="55">
                  <c:v>0.1693610607053242</c:v>
                </c:pt>
                <c:pt idx="56">
                  <c:v>0.19228583245223421</c:v>
                </c:pt>
              </c:numCache>
            </c:numRef>
          </c:yVal>
          <c:smooth val="1"/>
        </c:ser>
        <c:ser>
          <c:idx val="4"/>
          <c:order val="4"/>
          <c:tx>
            <c:strRef>
              <c:f>'plant performance'!$H$20</c:f>
              <c:strCache>
                <c:ptCount val="1"/>
                <c:pt idx="0">
                  <c:v>EPRI-binary</c:v>
                </c:pt>
              </c:strCache>
            </c:strRef>
          </c:tx>
          <c:spPr>
            <a:ln>
              <a:noFill/>
            </a:ln>
          </c:spPr>
          <c:marker>
            <c:symbol val="diamond"/>
            <c:size val="7"/>
            <c:spPr>
              <a:solidFill>
                <a:srgbClr val="FFFF00"/>
              </a:solidFill>
              <a:ln>
                <a:solidFill>
                  <a:schemeClr val="accent1"/>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performance'!$H$21:$H$307</c:f>
              <c:numCache>
                <c:formatCode>General</c:formatCode>
                <c:ptCount val="287"/>
                <c:pt idx="265">
                  <c:v>0.22342226145138733</c:v>
                </c:pt>
                <c:pt idx="266">
                  <c:v>0.25780461167786095</c:v>
                </c:pt>
                <c:pt idx="267">
                  <c:v>0.29790616265797415</c:v>
                </c:pt>
                <c:pt idx="268">
                  <c:v>0.36119327683684233</c:v>
                </c:pt>
                <c:pt idx="269">
                  <c:v>0.37491530828648634</c:v>
                </c:pt>
                <c:pt idx="270">
                  <c:v>0.35031562773703967</c:v>
                </c:pt>
                <c:pt idx="271">
                  <c:v>0.40176117986799426</c:v>
                </c:pt>
              </c:numCache>
            </c:numRef>
          </c:yVal>
          <c:smooth val="1"/>
        </c:ser>
        <c:ser>
          <c:idx val="5"/>
          <c:order val="5"/>
          <c:tx>
            <c:strRef>
              <c:f>'plant performance'!$I$20</c:f>
              <c:strCache>
                <c:ptCount val="1"/>
                <c:pt idx="0">
                  <c:v>EPRI-Flash</c:v>
                </c:pt>
              </c:strCache>
            </c:strRef>
          </c:tx>
          <c:spPr>
            <a:ln>
              <a:noFill/>
            </a:ln>
          </c:spPr>
          <c:marker>
            <c:symbol val="diamond"/>
            <c:size val="7"/>
            <c:spPr>
              <a:solidFill>
                <a:schemeClr val="accent1"/>
              </a:solidFill>
              <a:ln>
                <a:solidFill>
                  <a:srgbClr val="00B0F0"/>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performance'!$I$21:$I$307</c:f>
              <c:numCache>
                <c:formatCode>General</c:formatCode>
                <c:ptCount val="287"/>
                <c:pt idx="273">
                  <c:v>0.12456337366000389</c:v>
                </c:pt>
                <c:pt idx="274">
                  <c:v>0.21304465988182655</c:v>
                </c:pt>
                <c:pt idx="275">
                  <c:v>0.27328394066412381</c:v>
                </c:pt>
                <c:pt idx="276">
                  <c:v>0.29863458668046383</c:v>
                </c:pt>
                <c:pt idx="277">
                  <c:v>0.36707746626240068</c:v>
                </c:pt>
                <c:pt idx="278">
                  <c:v>0.35421063810388298</c:v>
                </c:pt>
                <c:pt idx="279">
                  <c:v>0.35442768674537228</c:v>
                </c:pt>
                <c:pt idx="280">
                  <c:v>0.40477415028044678</c:v>
                </c:pt>
                <c:pt idx="281">
                  <c:v>0.35959085428411924</c:v>
                </c:pt>
              </c:numCache>
            </c:numRef>
          </c:yVal>
          <c:smooth val="1"/>
        </c:ser>
        <c:ser>
          <c:idx val="6"/>
          <c:order val="6"/>
          <c:tx>
            <c:strRef>
              <c:f>'plant performance'!$J$20</c:f>
              <c:strCache>
                <c:ptCount val="1"/>
                <c:pt idx="0">
                  <c:v>DiPippo - Water cooled</c:v>
                </c:pt>
              </c:strCache>
            </c:strRef>
          </c:tx>
          <c:spPr>
            <a:ln>
              <a:noFill/>
            </a:ln>
          </c:spPr>
          <c:marker>
            <c:symbol val="circle"/>
            <c:size val="7"/>
            <c:spPr>
              <a:solidFill>
                <a:schemeClr val="accent6">
                  <a:lumMod val="20000"/>
                  <a:lumOff val="80000"/>
                </a:schemeClr>
              </a:solidFill>
              <a:ln>
                <a:solidFill>
                  <a:schemeClr val="accent6"/>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performance'!$J$21:$J$307</c:f>
              <c:numCache>
                <c:formatCode>General</c:formatCode>
                <c:ptCount val="287"/>
                <c:pt idx="11">
                  <c:v>0.20300000000000001</c:v>
                </c:pt>
                <c:pt idx="12">
                  <c:v>0.223</c:v>
                </c:pt>
                <c:pt idx="13">
                  <c:v>0.219</c:v>
                </c:pt>
                <c:pt idx="14">
                  <c:v>0.19500000000000001</c:v>
                </c:pt>
                <c:pt idx="15">
                  <c:v>0.217</c:v>
                </c:pt>
                <c:pt idx="16">
                  <c:v>0.19</c:v>
                </c:pt>
                <c:pt idx="17">
                  <c:v>0.20300000000000001</c:v>
                </c:pt>
                <c:pt idx="18">
                  <c:v>0.20100000000000001</c:v>
                </c:pt>
                <c:pt idx="19">
                  <c:v>0.21099999999999999</c:v>
                </c:pt>
                <c:pt idx="20">
                  <c:v>0.19600000000000001</c:v>
                </c:pt>
                <c:pt idx="21">
                  <c:v>0.19400000000000001</c:v>
                </c:pt>
                <c:pt idx="22">
                  <c:v>0.20899999999999999</c:v>
                </c:pt>
                <c:pt idx="23">
                  <c:v>0.20699999999999999</c:v>
                </c:pt>
                <c:pt idx="24">
                  <c:v>0.17</c:v>
                </c:pt>
                <c:pt idx="25">
                  <c:v>0.19800000000000001</c:v>
                </c:pt>
                <c:pt idx="26">
                  <c:v>0.17899999999999999</c:v>
                </c:pt>
                <c:pt idx="27">
                  <c:v>0.187</c:v>
                </c:pt>
                <c:pt idx="28">
                  <c:v>0.216</c:v>
                </c:pt>
                <c:pt idx="29">
                  <c:v>0.216</c:v>
                </c:pt>
                <c:pt idx="30">
                  <c:v>0.434</c:v>
                </c:pt>
                <c:pt idx="31">
                  <c:v>0.23100000000000001</c:v>
                </c:pt>
              </c:numCache>
            </c:numRef>
          </c:yVal>
          <c:smooth val="1"/>
        </c:ser>
        <c:ser>
          <c:idx val="7"/>
          <c:order val="7"/>
          <c:tx>
            <c:strRef>
              <c:f>'plant performance'!$K$20</c:f>
              <c:strCache>
                <c:ptCount val="1"/>
                <c:pt idx="0">
                  <c:v>Plant</c:v>
                </c:pt>
              </c:strCache>
            </c:strRef>
          </c:tx>
          <c:spPr>
            <a:ln>
              <a:noFill/>
            </a:ln>
          </c:spPr>
          <c:marker>
            <c:symbol val="circle"/>
            <c:size val="7"/>
            <c:spPr>
              <a:solidFill>
                <a:schemeClr val="accent6"/>
              </a:solidFill>
              <a:ln>
                <a:solidFill>
                  <a:schemeClr val="accent6"/>
                </a:solidFill>
              </a:ln>
            </c:spPr>
          </c:marker>
          <c:xVal>
            <c:numRef>
              <c:f>'plant performance'!$B$21:$B$307</c:f>
              <c:numCache>
                <c:formatCode>General</c:formatCode>
                <c:ptCount val="287"/>
                <c:pt idx="0">
                  <c:v>75</c:v>
                </c:pt>
                <c:pt idx="1">
                  <c:v>100</c:v>
                </c:pt>
                <c:pt idx="2">
                  <c:v>125</c:v>
                </c:pt>
                <c:pt idx="3">
                  <c:v>150</c:v>
                </c:pt>
                <c:pt idx="4">
                  <c:v>175</c:v>
                </c:pt>
                <c:pt idx="5">
                  <c:v>200</c:v>
                </c:pt>
                <c:pt idx="6">
                  <c:v>225</c:v>
                </c:pt>
                <c:pt idx="7">
                  <c:v>250</c:v>
                </c:pt>
                <c:pt idx="8">
                  <c:v>275</c:v>
                </c:pt>
                <c:pt idx="11">
                  <c:v>106.2</c:v>
                </c:pt>
                <c:pt idx="12">
                  <c:v>108</c:v>
                </c:pt>
                <c:pt idx="13">
                  <c:v>107.1</c:v>
                </c:pt>
                <c:pt idx="14">
                  <c:v>108.3</c:v>
                </c:pt>
                <c:pt idx="15">
                  <c:v>108.4</c:v>
                </c:pt>
                <c:pt idx="16">
                  <c:v>108.3</c:v>
                </c:pt>
                <c:pt idx="17">
                  <c:v>107</c:v>
                </c:pt>
                <c:pt idx="18">
                  <c:v>108.9</c:v>
                </c:pt>
                <c:pt idx="19">
                  <c:v>109</c:v>
                </c:pt>
                <c:pt idx="20">
                  <c:v>108.8</c:v>
                </c:pt>
                <c:pt idx="21">
                  <c:v>108.8</c:v>
                </c:pt>
                <c:pt idx="22">
                  <c:v>108.9</c:v>
                </c:pt>
                <c:pt idx="23">
                  <c:v>109</c:v>
                </c:pt>
                <c:pt idx="24">
                  <c:v>109.2</c:v>
                </c:pt>
                <c:pt idx="25">
                  <c:v>109.3</c:v>
                </c:pt>
                <c:pt idx="26">
                  <c:v>109.1</c:v>
                </c:pt>
                <c:pt idx="27">
                  <c:v>109.2</c:v>
                </c:pt>
                <c:pt idx="28">
                  <c:v>107.5</c:v>
                </c:pt>
                <c:pt idx="29">
                  <c:v>140</c:v>
                </c:pt>
                <c:pt idx="30">
                  <c:v>165</c:v>
                </c:pt>
                <c:pt idx="31">
                  <c:v>122</c:v>
                </c:pt>
                <c:pt idx="33">
                  <c:v>137.77777777777777</c:v>
                </c:pt>
                <c:pt idx="35">
                  <c:v>145.9278540865734</c:v>
                </c:pt>
                <c:pt idx="36">
                  <c:v>147.94453764921653</c:v>
                </c:pt>
                <c:pt idx="37">
                  <c:v>170.26621108815763</c:v>
                </c:pt>
                <c:pt idx="38">
                  <c:v>172.61152776737921</c:v>
                </c:pt>
                <c:pt idx="39">
                  <c:v>194.65562312263046</c:v>
                </c:pt>
                <c:pt idx="40">
                  <c:v>197.30489739180788</c:v>
                </c:pt>
                <c:pt idx="41">
                  <c:v>219.11753660245319</c:v>
                </c:pt>
                <c:pt idx="42">
                  <c:v>222.03578695314616</c:v>
                </c:pt>
                <c:pt idx="43">
                  <c:v>243.68966474259145</c:v>
                </c:pt>
                <c:pt idx="44">
                  <c:v>246.82381093567327</c:v>
                </c:pt>
                <c:pt idx="45">
                  <c:v>268.43595126826887</c:v>
                </c:pt>
                <c:pt idx="46">
                  <c:v>271.70189682508055</c:v>
                </c:pt>
                <c:pt idx="47">
                  <c:v>293.44426617824968</c:v>
                </c:pt>
                <c:pt idx="48">
                  <c:v>296.71423711005343</c:v>
                </c:pt>
                <c:pt idx="49">
                  <c:v>318.79276396867681</c:v>
                </c:pt>
                <c:pt idx="50">
                  <c:v>321.89802939916467</c:v>
                </c:pt>
                <c:pt idx="51">
                  <c:v>121.62585625956733</c:v>
                </c:pt>
                <c:pt idx="52">
                  <c:v>123.29635148603958</c:v>
                </c:pt>
                <c:pt idx="53">
                  <c:v>111.91235372461557</c:v>
                </c:pt>
                <c:pt idx="54">
                  <c:v>113.44085972950931</c:v>
                </c:pt>
                <c:pt idx="55">
                  <c:v>136.20342755501622</c:v>
                </c:pt>
                <c:pt idx="56">
                  <c:v>138.08338477996182</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3">
                  <c:v>250</c:v>
                </c:pt>
                <c:pt idx="244">
                  <c:v>250</c:v>
                </c:pt>
                <c:pt idx="245">
                  <c:v>250</c:v>
                </c:pt>
                <c:pt idx="246">
                  <c:v>250</c:v>
                </c:pt>
                <c:pt idx="247">
                  <c:v>250</c:v>
                </c:pt>
                <c:pt idx="248">
                  <c:v>250</c:v>
                </c:pt>
                <c:pt idx="249">
                  <c:v>250</c:v>
                </c:pt>
                <c:pt idx="250">
                  <c:v>250</c:v>
                </c:pt>
                <c:pt idx="251">
                  <c:v>250</c:v>
                </c:pt>
                <c:pt idx="252">
                  <c:v>250</c:v>
                </c:pt>
                <c:pt idx="253">
                  <c:v>250</c:v>
                </c:pt>
                <c:pt idx="254">
                  <c:v>250</c:v>
                </c:pt>
                <c:pt idx="255">
                  <c:v>250</c:v>
                </c:pt>
                <c:pt idx="256">
                  <c:v>250</c:v>
                </c:pt>
                <c:pt idx="257">
                  <c:v>250</c:v>
                </c:pt>
                <c:pt idx="258">
                  <c:v>250</c:v>
                </c:pt>
                <c:pt idx="259">
                  <c:v>250</c:v>
                </c:pt>
                <c:pt idx="260">
                  <c:v>250</c:v>
                </c:pt>
                <c:pt idx="261">
                  <c:v>250</c:v>
                </c:pt>
                <c:pt idx="262">
                  <c:v>250</c:v>
                </c:pt>
                <c:pt idx="263">
                  <c:v>250</c:v>
                </c:pt>
                <c:pt idx="265">
                  <c:v>129.44444444444443</c:v>
                </c:pt>
                <c:pt idx="266">
                  <c:v>129.44444444444443</c:v>
                </c:pt>
                <c:pt idx="267">
                  <c:v>150</c:v>
                </c:pt>
                <c:pt idx="268">
                  <c:v>165.55555555555554</c:v>
                </c:pt>
                <c:pt idx="269">
                  <c:v>165.55555555555554</c:v>
                </c:pt>
                <c:pt idx="270">
                  <c:v>190.55555555555554</c:v>
                </c:pt>
                <c:pt idx="271">
                  <c:v>190.55555555555554</c:v>
                </c:pt>
                <c:pt idx="273">
                  <c:v>129.44444444444443</c:v>
                </c:pt>
                <c:pt idx="274">
                  <c:v>150</c:v>
                </c:pt>
                <c:pt idx="275">
                  <c:v>165.55555555555554</c:v>
                </c:pt>
                <c:pt idx="276">
                  <c:v>190.55555555555554</c:v>
                </c:pt>
                <c:pt idx="277">
                  <c:v>273.88888888888886</c:v>
                </c:pt>
                <c:pt idx="278">
                  <c:v>218.33333333333331</c:v>
                </c:pt>
                <c:pt idx="279">
                  <c:v>232.22222222222223</c:v>
                </c:pt>
                <c:pt idx="280">
                  <c:v>265.55555555555554</c:v>
                </c:pt>
                <c:pt idx="281">
                  <c:v>298.88888888888886</c:v>
                </c:pt>
              </c:numCache>
            </c:numRef>
          </c:xVal>
          <c:yVal>
            <c:numRef>
              <c:f>'plant performance'!$K$21:$K$307</c:f>
              <c:numCache>
                <c:formatCode>General</c:formatCode>
                <c:ptCount val="287"/>
                <c:pt idx="33">
                  <c:v>0.36499999999999999</c:v>
                </c:pt>
              </c:numCache>
            </c:numRef>
          </c:yVal>
          <c:smooth val="1"/>
        </c:ser>
        <c:axId val="88724224"/>
        <c:axId val="88726144"/>
      </c:scatterChart>
      <c:valAx>
        <c:axId val="88724224"/>
        <c:scaling>
          <c:orientation val="minMax"/>
          <c:max val="350"/>
          <c:min val="50"/>
        </c:scaling>
        <c:axPos val="b"/>
        <c:numFmt formatCode="General" sourceLinked="1"/>
        <c:tickLblPos val="nextTo"/>
        <c:crossAx val="88726144"/>
        <c:crosses val="autoZero"/>
        <c:crossBetween val="midCat"/>
      </c:valAx>
      <c:valAx>
        <c:axId val="88726144"/>
        <c:scaling>
          <c:orientation val="minMax"/>
          <c:min val="0"/>
        </c:scaling>
        <c:axPos val="l"/>
        <c:majorGridlines/>
        <c:numFmt formatCode="General" sourceLinked="1"/>
        <c:tickLblPos val="nextTo"/>
        <c:crossAx val="88724224"/>
        <c:crosses val="autoZero"/>
        <c:crossBetween val="midCat"/>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spPr>
            <a:ln w="28575">
              <a:noFill/>
            </a:ln>
          </c:spPr>
          <c:trendline>
            <c:trendlineType val="poly"/>
            <c:order val="3"/>
            <c:dispEq val="1"/>
            <c:trendlineLbl>
              <c:layout>
                <c:manualLayout>
                  <c:x val="0.28608858267716542"/>
                  <c:y val="-0.14478382910469526"/>
                </c:manualLayout>
              </c:layout>
              <c:numFmt formatCode="0.00000E+00" sourceLinked="0"/>
            </c:trendlineLbl>
          </c:trendline>
          <c:xVal>
            <c:numRef>
              <c:f>'plant performance'!$B$316:$B$521</c:f>
              <c:numCache>
                <c:formatCode>General</c:formatCode>
                <c:ptCount val="206"/>
                <c:pt idx="0">
                  <c:v>75</c:v>
                </c:pt>
                <c:pt idx="1">
                  <c:v>75</c:v>
                </c:pt>
                <c:pt idx="2">
                  <c:v>75</c:v>
                </c:pt>
                <c:pt idx="3">
                  <c:v>75</c:v>
                </c:pt>
                <c:pt idx="4">
                  <c:v>75</c:v>
                </c:pt>
                <c:pt idx="5">
                  <c:v>75</c:v>
                </c:pt>
                <c:pt idx="6">
                  <c:v>75</c:v>
                </c:pt>
                <c:pt idx="7">
                  <c:v>75</c:v>
                </c:pt>
                <c:pt idx="8">
                  <c:v>75</c:v>
                </c:pt>
                <c:pt idx="9">
                  <c:v>75</c:v>
                </c:pt>
                <c:pt idx="10">
                  <c:v>75</c:v>
                </c:pt>
                <c:pt idx="11">
                  <c:v>75</c:v>
                </c:pt>
                <c:pt idx="12">
                  <c:v>75</c:v>
                </c:pt>
                <c:pt idx="13">
                  <c:v>75</c:v>
                </c:pt>
                <c:pt idx="14">
                  <c:v>75</c:v>
                </c:pt>
                <c:pt idx="15">
                  <c:v>75</c:v>
                </c:pt>
                <c:pt idx="16">
                  <c:v>75</c:v>
                </c:pt>
                <c:pt idx="17">
                  <c:v>75</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7">
                  <c:v>150</c:v>
                </c:pt>
                <c:pt idx="58">
                  <c:v>150</c:v>
                </c:pt>
                <c:pt idx="59">
                  <c:v>150</c:v>
                </c:pt>
                <c:pt idx="60">
                  <c:v>150</c:v>
                </c:pt>
                <c:pt idx="61">
                  <c:v>150</c:v>
                </c:pt>
                <c:pt idx="62">
                  <c:v>150</c:v>
                </c:pt>
                <c:pt idx="63">
                  <c:v>150</c:v>
                </c:pt>
                <c:pt idx="64">
                  <c:v>150</c:v>
                </c:pt>
                <c:pt idx="65">
                  <c:v>150</c:v>
                </c:pt>
                <c:pt idx="66">
                  <c:v>150</c:v>
                </c:pt>
                <c:pt idx="67">
                  <c:v>150</c:v>
                </c:pt>
                <c:pt idx="68">
                  <c:v>150</c:v>
                </c:pt>
                <c:pt idx="69">
                  <c:v>150</c:v>
                </c:pt>
                <c:pt idx="70">
                  <c:v>150</c:v>
                </c:pt>
                <c:pt idx="71">
                  <c:v>150</c:v>
                </c:pt>
                <c:pt idx="72">
                  <c:v>150</c:v>
                </c:pt>
                <c:pt idx="73">
                  <c:v>150</c:v>
                </c:pt>
                <c:pt idx="74">
                  <c:v>150</c:v>
                </c:pt>
                <c:pt idx="75">
                  <c:v>150</c:v>
                </c:pt>
                <c:pt idx="76">
                  <c:v>150</c:v>
                </c:pt>
                <c:pt idx="77">
                  <c:v>150</c:v>
                </c:pt>
                <c:pt idx="78">
                  <c:v>150</c:v>
                </c:pt>
                <c:pt idx="79">
                  <c:v>150</c:v>
                </c:pt>
                <c:pt idx="80">
                  <c:v>150</c:v>
                </c:pt>
                <c:pt idx="81">
                  <c:v>150</c:v>
                </c:pt>
                <c:pt idx="82">
                  <c:v>150</c:v>
                </c:pt>
                <c:pt idx="83">
                  <c:v>150</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3">
                  <c:v>200</c:v>
                </c:pt>
                <c:pt idx="114">
                  <c:v>200</c:v>
                </c:pt>
                <c:pt idx="115">
                  <c:v>200</c:v>
                </c:pt>
                <c:pt idx="116">
                  <c:v>200</c:v>
                </c:pt>
                <c:pt idx="117">
                  <c:v>200</c:v>
                </c:pt>
                <c:pt idx="118">
                  <c:v>200</c:v>
                </c:pt>
                <c:pt idx="119">
                  <c:v>200</c:v>
                </c:pt>
                <c:pt idx="120">
                  <c:v>200</c:v>
                </c:pt>
                <c:pt idx="121">
                  <c:v>200</c:v>
                </c:pt>
                <c:pt idx="122">
                  <c:v>200</c:v>
                </c:pt>
                <c:pt idx="123">
                  <c:v>200</c:v>
                </c:pt>
                <c:pt idx="124">
                  <c:v>200</c:v>
                </c:pt>
                <c:pt idx="125">
                  <c:v>200</c:v>
                </c:pt>
                <c:pt idx="126">
                  <c:v>200</c:v>
                </c:pt>
                <c:pt idx="127">
                  <c:v>200</c:v>
                </c:pt>
                <c:pt idx="128">
                  <c:v>200</c:v>
                </c:pt>
                <c:pt idx="129">
                  <c:v>200</c:v>
                </c:pt>
                <c:pt idx="130">
                  <c:v>200</c:v>
                </c:pt>
                <c:pt idx="131">
                  <c:v>200</c:v>
                </c:pt>
                <c:pt idx="132">
                  <c:v>200</c:v>
                </c:pt>
                <c:pt idx="133">
                  <c:v>200</c:v>
                </c:pt>
                <c:pt idx="134">
                  <c:v>200</c:v>
                </c:pt>
                <c:pt idx="135">
                  <c:v>200</c:v>
                </c:pt>
                <c:pt idx="136">
                  <c:v>200</c:v>
                </c:pt>
                <c:pt idx="137">
                  <c:v>200</c:v>
                </c:pt>
                <c:pt idx="138">
                  <c:v>200</c:v>
                </c:pt>
                <c:pt idx="139">
                  <c:v>200</c:v>
                </c:pt>
                <c:pt idx="140">
                  <c:v>200</c:v>
                </c:pt>
                <c:pt idx="141">
                  <c:v>200</c:v>
                </c:pt>
                <c:pt idx="142">
                  <c:v>200</c:v>
                </c:pt>
                <c:pt idx="143">
                  <c:v>200</c:v>
                </c:pt>
                <c:pt idx="144">
                  <c:v>200</c:v>
                </c:pt>
                <c:pt idx="145">
                  <c:v>200</c:v>
                </c:pt>
                <c:pt idx="147">
                  <c:v>200</c:v>
                </c:pt>
                <c:pt idx="148">
                  <c:v>200</c:v>
                </c:pt>
                <c:pt idx="149">
                  <c:v>200</c:v>
                </c:pt>
                <c:pt idx="150">
                  <c:v>200</c:v>
                </c:pt>
                <c:pt idx="151">
                  <c:v>200</c:v>
                </c:pt>
                <c:pt idx="152">
                  <c:v>200</c:v>
                </c:pt>
                <c:pt idx="153">
                  <c:v>200</c:v>
                </c:pt>
                <c:pt idx="154">
                  <c:v>200</c:v>
                </c:pt>
                <c:pt idx="155">
                  <c:v>200</c:v>
                </c:pt>
                <c:pt idx="156">
                  <c:v>200</c:v>
                </c:pt>
                <c:pt idx="157">
                  <c:v>200</c:v>
                </c:pt>
                <c:pt idx="158">
                  <c:v>200</c:v>
                </c:pt>
                <c:pt idx="159">
                  <c:v>200</c:v>
                </c:pt>
                <c:pt idx="160">
                  <c:v>200</c:v>
                </c:pt>
                <c:pt idx="161">
                  <c:v>200</c:v>
                </c:pt>
                <c:pt idx="162">
                  <c:v>200</c:v>
                </c:pt>
                <c:pt idx="163">
                  <c:v>200</c:v>
                </c:pt>
                <c:pt idx="164">
                  <c:v>200</c:v>
                </c:pt>
                <c:pt idx="166">
                  <c:v>225</c:v>
                </c:pt>
                <c:pt idx="167">
                  <c:v>225</c:v>
                </c:pt>
                <c:pt idx="168">
                  <c:v>225</c:v>
                </c:pt>
                <c:pt idx="169">
                  <c:v>225</c:v>
                </c:pt>
                <c:pt idx="170">
                  <c:v>225</c:v>
                </c:pt>
                <c:pt idx="171">
                  <c:v>225</c:v>
                </c:pt>
                <c:pt idx="172">
                  <c:v>225</c:v>
                </c:pt>
                <c:pt idx="173">
                  <c:v>225</c:v>
                </c:pt>
                <c:pt idx="174">
                  <c:v>225</c:v>
                </c:pt>
                <c:pt idx="175">
                  <c:v>225</c:v>
                </c:pt>
                <c:pt idx="176">
                  <c:v>225</c:v>
                </c:pt>
                <c:pt idx="177">
                  <c:v>225</c:v>
                </c:pt>
                <c:pt idx="178">
                  <c:v>225</c:v>
                </c:pt>
                <c:pt idx="179">
                  <c:v>225</c:v>
                </c:pt>
                <c:pt idx="180">
                  <c:v>225</c:v>
                </c:pt>
                <c:pt idx="181">
                  <c:v>225</c:v>
                </c:pt>
                <c:pt idx="182">
                  <c:v>225</c:v>
                </c:pt>
                <c:pt idx="183">
                  <c:v>225</c:v>
                </c:pt>
                <c:pt idx="185">
                  <c:v>250</c:v>
                </c:pt>
                <c:pt idx="186">
                  <c:v>250</c:v>
                </c:pt>
                <c:pt idx="187">
                  <c:v>250</c:v>
                </c:pt>
                <c:pt idx="188">
                  <c:v>250</c:v>
                </c:pt>
                <c:pt idx="189">
                  <c:v>250</c:v>
                </c:pt>
                <c:pt idx="190">
                  <c:v>250</c:v>
                </c:pt>
                <c:pt idx="191">
                  <c:v>250</c:v>
                </c:pt>
                <c:pt idx="192">
                  <c:v>250</c:v>
                </c:pt>
                <c:pt idx="193">
                  <c:v>250</c:v>
                </c:pt>
                <c:pt idx="194">
                  <c:v>250</c:v>
                </c:pt>
                <c:pt idx="195">
                  <c:v>250</c:v>
                </c:pt>
                <c:pt idx="196">
                  <c:v>250</c:v>
                </c:pt>
                <c:pt idx="197">
                  <c:v>250</c:v>
                </c:pt>
                <c:pt idx="198">
                  <c:v>250</c:v>
                </c:pt>
                <c:pt idx="199">
                  <c:v>250</c:v>
                </c:pt>
                <c:pt idx="200">
                  <c:v>250</c:v>
                </c:pt>
                <c:pt idx="201">
                  <c:v>250</c:v>
                </c:pt>
                <c:pt idx="202">
                  <c:v>250</c:v>
                </c:pt>
                <c:pt idx="203">
                  <c:v>250</c:v>
                </c:pt>
                <c:pt idx="204">
                  <c:v>250</c:v>
                </c:pt>
                <c:pt idx="205">
                  <c:v>250</c:v>
                </c:pt>
              </c:numCache>
            </c:numRef>
          </c:xVal>
          <c:yVal>
            <c:numRef>
              <c:f>'plant performance'!$C$316:$C$521</c:f>
              <c:numCache>
                <c:formatCode>0.0%</c:formatCode>
                <c:ptCount val="206"/>
                <c:pt idx="0">
                  <c:v>0.22264067675268281</c:v>
                </c:pt>
                <c:pt idx="1">
                  <c:v>0.21157373068965027</c:v>
                </c:pt>
                <c:pt idx="2">
                  <c:v>0.20727047644881424</c:v>
                </c:pt>
                <c:pt idx="3">
                  <c:v>0.10645294205982932</c:v>
                </c:pt>
                <c:pt idx="4">
                  <c:v>0.10606909252683047</c:v>
                </c:pt>
                <c:pt idx="5">
                  <c:v>9.6475063975326722E-2</c:v>
                </c:pt>
                <c:pt idx="6">
                  <c:v>0.15770068717951669</c:v>
                </c:pt>
                <c:pt idx="7">
                  <c:v>0.1546600804358455</c:v>
                </c:pt>
                <c:pt idx="8">
                  <c:v>0.15306842564244846</c:v>
                </c:pt>
                <c:pt idx="15">
                  <c:v>0.18767088058710801</c:v>
                </c:pt>
                <c:pt idx="16">
                  <c:v>0.18090982764799293</c:v>
                </c:pt>
                <c:pt idx="17">
                  <c:v>0.17815029963369627</c:v>
                </c:pt>
                <c:pt idx="19">
                  <c:v>0.30254046986594146</c:v>
                </c:pt>
                <c:pt idx="20">
                  <c:v>0.30240016605229569</c:v>
                </c:pt>
                <c:pt idx="21">
                  <c:v>0.29981245797129041</c:v>
                </c:pt>
                <c:pt idx="22">
                  <c:v>0.18412600712712873</c:v>
                </c:pt>
                <c:pt idx="23">
                  <c:v>0.1793218030709805</c:v>
                </c:pt>
                <c:pt idx="24">
                  <c:v>0.17805869856106282</c:v>
                </c:pt>
                <c:pt idx="25">
                  <c:v>0.24153604064167433</c:v>
                </c:pt>
                <c:pt idx="26">
                  <c:v>0.24152175368168313</c:v>
                </c:pt>
                <c:pt idx="27">
                  <c:v>0.23961379410924372</c:v>
                </c:pt>
                <c:pt idx="28">
                  <c:v>0.15617108987320455</c:v>
                </c:pt>
                <c:pt idx="29">
                  <c:v>0.15571578854316842</c:v>
                </c:pt>
                <c:pt idx="30">
                  <c:v>0.14612449368095681</c:v>
                </c:pt>
                <c:pt idx="31">
                  <c:v>0.21729963909267136</c:v>
                </c:pt>
                <c:pt idx="32">
                  <c:v>0.18786546339528892</c:v>
                </c:pt>
                <c:pt idx="33">
                  <c:v>0.18633722505978306</c:v>
                </c:pt>
                <c:pt idx="38">
                  <c:v>0.36549425044885725</c:v>
                </c:pt>
                <c:pt idx="39">
                  <c:v>0.36541854763363446</c:v>
                </c:pt>
                <c:pt idx="40">
                  <c:v>0.36262691972931738</c:v>
                </c:pt>
                <c:pt idx="41">
                  <c:v>0.31640230354493842</c:v>
                </c:pt>
                <c:pt idx="42">
                  <c:v>0.31572101612721343</c:v>
                </c:pt>
                <c:pt idx="43">
                  <c:v>0.31522672238077748</c:v>
                </c:pt>
                <c:pt idx="47">
                  <c:v>0.29035143416247294</c:v>
                </c:pt>
                <c:pt idx="48">
                  <c:v>0.29028685380494901</c:v>
                </c:pt>
                <c:pt idx="49">
                  <c:v>0.28786389275399071</c:v>
                </c:pt>
                <c:pt idx="50">
                  <c:v>0.33733341563015673</c:v>
                </c:pt>
                <c:pt idx="51">
                  <c:v>0.33651845828956578</c:v>
                </c:pt>
                <c:pt idx="52">
                  <c:v>0.3363680608658573</c:v>
                </c:pt>
                <c:pt idx="57">
                  <c:v>0.4979425636377745</c:v>
                </c:pt>
                <c:pt idx="58">
                  <c:v>0.49778452676445917</c:v>
                </c:pt>
                <c:pt idx="59">
                  <c:v>0.49735610899122085</c:v>
                </c:pt>
                <c:pt idx="60">
                  <c:v>0.45125041402020727</c:v>
                </c:pt>
                <c:pt idx="61">
                  <c:v>0.4510674736612254</c:v>
                </c:pt>
                <c:pt idx="62">
                  <c:v>0.45098851621656944</c:v>
                </c:pt>
                <c:pt idx="63">
                  <c:v>0.40610463593942026</c:v>
                </c:pt>
                <c:pt idx="64">
                  <c:v>0.4055371564022594</c:v>
                </c:pt>
                <c:pt idx="65">
                  <c:v>0.40527211085580789</c:v>
                </c:pt>
                <c:pt idx="66">
                  <c:v>0.43223872794374951</c:v>
                </c:pt>
                <c:pt idx="67">
                  <c:v>0.43205352104328437</c:v>
                </c:pt>
                <c:pt idx="68">
                  <c:v>0.43203346566948136</c:v>
                </c:pt>
                <c:pt idx="69">
                  <c:v>0.38533807525868435</c:v>
                </c:pt>
                <c:pt idx="70">
                  <c:v>0.38525230221823825</c:v>
                </c:pt>
                <c:pt idx="71">
                  <c:v>0.38484158092130943</c:v>
                </c:pt>
                <c:pt idx="72">
                  <c:v>0.34039196601109661</c:v>
                </c:pt>
                <c:pt idx="73">
                  <c:v>0.33495587574260177</c:v>
                </c:pt>
                <c:pt idx="74">
                  <c:v>0.29189760968122913</c:v>
                </c:pt>
                <c:pt idx="85">
                  <c:v>0.45227307445180659</c:v>
                </c:pt>
                <c:pt idx="86">
                  <c:v>0.45213621709592622</c:v>
                </c:pt>
                <c:pt idx="87">
                  <c:v>0.44977400378212856</c:v>
                </c:pt>
                <c:pt idx="88">
                  <c:v>0.39854993574581826</c:v>
                </c:pt>
                <c:pt idx="89">
                  <c:v>0.39123318429404502</c:v>
                </c:pt>
                <c:pt idx="90">
                  <c:v>0.38594170863905886</c:v>
                </c:pt>
                <c:pt idx="91">
                  <c:v>0.38704065153641598</c:v>
                </c:pt>
                <c:pt idx="92">
                  <c:v>0.36266293745295741</c:v>
                </c:pt>
                <c:pt idx="93">
                  <c:v>0.36092493750859117</c:v>
                </c:pt>
                <c:pt idx="94">
                  <c:v>0.42072796090153575</c:v>
                </c:pt>
                <c:pt idx="95">
                  <c:v>0.41462745677336116</c:v>
                </c:pt>
                <c:pt idx="96">
                  <c:v>0.41246719875827204</c:v>
                </c:pt>
                <c:pt idx="97">
                  <c:v>0.41223112898908509</c:v>
                </c:pt>
                <c:pt idx="98">
                  <c:v>0.39976591237434178</c:v>
                </c:pt>
                <c:pt idx="99">
                  <c:v>0.39649987528699993</c:v>
                </c:pt>
                <c:pt idx="113">
                  <c:v>0.47504745705224377</c:v>
                </c:pt>
                <c:pt idx="114">
                  <c:v>0.47493239322967945</c:v>
                </c:pt>
                <c:pt idx="115">
                  <c:v>0.47380200065938144</c:v>
                </c:pt>
                <c:pt idx="116">
                  <c:v>0.45159456699205092</c:v>
                </c:pt>
                <c:pt idx="117">
                  <c:v>0.44985131877078843</c:v>
                </c:pt>
                <c:pt idx="118">
                  <c:v>0.4497006302265204</c:v>
                </c:pt>
                <c:pt idx="119">
                  <c:v>0.43081183283778413</c:v>
                </c:pt>
                <c:pt idx="120">
                  <c:v>0.43079050972520788</c:v>
                </c:pt>
                <c:pt idx="121">
                  <c:v>0.42972281333028389</c:v>
                </c:pt>
                <c:pt idx="122">
                  <c:v>0.40970658987133973</c:v>
                </c:pt>
                <c:pt idx="123">
                  <c:v>0.40423435741514291</c:v>
                </c:pt>
                <c:pt idx="124">
                  <c:v>0.39346410442244178</c:v>
                </c:pt>
                <c:pt idx="125">
                  <c:v>0.42551372895906564</c:v>
                </c:pt>
                <c:pt idx="126">
                  <c:v>0.42548420948758364</c:v>
                </c:pt>
                <c:pt idx="127">
                  <c:v>0.42462622041874276</c:v>
                </c:pt>
                <c:pt idx="128">
                  <c:v>0.40568378755890633</c:v>
                </c:pt>
                <c:pt idx="129">
                  <c:v>0.40556860464358357</c:v>
                </c:pt>
                <c:pt idx="130">
                  <c:v>0.40484088485061676</c:v>
                </c:pt>
                <c:pt idx="134">
                  <c:v>0.39916781895542935</c:v>
                </c:pt>
                <c:pt idx="135">
                  <c:v>0.39901193309414379</c:v>
                </c:pt>
                <c:pt idx="136">
                  <c:v>0.39892386209676917</c:v>
                </c:pt>
                <c:pt idx="147">
                  <c:v>0.44111936041314354</c:v>
                </c:pt>
                <c:pt idx="148">
                  <c:v>0.44030383535629425</c:v>
                </c:pt>
                <c:pt idx="149">
                  <c:v>0.44001986645253827</c:v>
                </c:pt>
                <c:pt idx="156">
                  <c:v>0.37029115929019579</c:v>
                </c:pt>
                <c:pt idx="157">
                  <c:v>0.36966040510941517</c:v>
                </c:pt>
                <c:pt idx="158">
                  <c:v>0.369239388764452</c:v>
                </c:pt>
                <c:pt idx="159">
                  <c:v>0.39441485330788478</c:v>
                </c:pt>
                <c:pt idx="160">
                  <c:v>0.39397272295896479</c:v>
                </c:pt>
                <c:pt idx="161">
                  <c:v>0.39303395197735574</c:v>
                </c:pt>
                <c:pt idx="162">
                  <c:v>0.41714147124008466</c:v>
                </c:pt>
                <c:pt idx="163">
                  <c:v>0.4165761902638892</c:v>
                </c:pt>
                <c:pt idx="164">
                  <c:v>0.41635525408444762</c:v>
                </c:pt>
                <c:pt idx="166">
                  <c:v>0.46119486997732639</c:v>
                </c:pt>
                <c:pt idx="167">
                  <c:v>0.46042840437100646</c:v>
                </c:pt>
                <c:pt idx="168">
                  <c:v>0.46014233700416224</c:v>
                </c:pt>
                <c:pt idx="169">
                  <c:v>0.42808116296895898</c:v>
                </c:pt>
                <c:pt idx="170">
                  <c:v>0.42738884131669103</c:v>
                </c:pt>
                <c:pt idx="171">
                  <c:v>0.4271259049734662</c:v>
                </c:pt>
                <c:pt idx="172">
                  <c:v>0.39618778563918844</c:v>
                </c:pt>
                <c:pt idx="173">
                  <c:v>0.39314538380475617</c:v>
                </c:pt>
                <c:pt idx="174">
                  <c:v>0.39225601554105055</c:v>
                </c:pt>
                <c:pt idx="181">
                  <c:v>0.49797048453732784</c:v>
                </c:pt>
                <c:pt idx="182">
                  <c:v>0.49720217009144257</c:v>
                </c:pt>
                <c:pt idx="183">
                  <c:v>0.49692971725872837</c:v>
                </c:pt>
                <c:pt idx="185">
                  <c:v>0.4897243371074218</c:v>
                </c:pt>
                <c:pt idx="186">
                  <c:v>0.48793481855423321</c:v>
                </c:pt>
                <c:pt idx="187">
                  <c:v>0.4860820111851748</c:v>
                </c:pt>
                <c:pt idx="197">
                  <c:v>0.40451471347545481</c:v>
                </c:pt>
                <c:pt idx="198">
                  <c:v>0.40242159286697254</c:v>
                </c:pt>
                <c:pt idx="199">
                  <c:v>0.40185506793565051</c:v>
                </c:pt>
                <c:pt idx="200">
                  <c:v>0.42994646316119056</c:v>
                </c:pt>
                <c:pt idx="201">
                  <c:v>0.42897539053758732</c:v>
                </c:pt>
                <c:pt idx="202">
                  <c:v>0.42804441902068108</c:v>
                </c:pt>
                <c:pt idx="203">
                  <c:v>0.45845647770350167</c:v>
                </c:pt>
                <c:pt idx="204">
                  <c:v>0.45735368956143235</c:v>
                </c:pt>
                <c:pt idx="205">
                  <c:v>0.45420316829652002</c:v>
                </c:pt>
              </c:numCache>
            </c:numRef>
          </c:yVal>
        </c:ser>
        <c:axId val="78279040"/>
        <c:axId val="78280576"/>
      </c:scatterChart>
      <c:valAx>
        <c:axId val="78279040"/>
        <c:scaling>
          <c:orientation val="minMax"/>
        </c:scaling>
        <c:axPos val="b"/>
        <c:numFmt formatCode="General" sourceLinked="1"/>
        <c:tickLblPos val="nextTo"/>
        <c:crossAx val="78280576"/>
        <c:crosses val="autoZero"/>
        <c:crossBetween val="midCat"/>
      </c:valAx>
      <c:valAx>
        <c:axId val="78280576"/>
        <c:scaling>
          <c:orientation val="minMax"/>
        </c:scaling>
        <c:axPos val="l"/>
        <c:majorGridlines/>
        <c:numFmt formatCode="0.0%" sourceLinked="1"/>
        <c:tickLblPos val="nextTo"/>
        <c:crossAx val="78279040"/>
        <c:crosses val="autoZero"/>
        <c:crossBetween val="midCat"/>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spPr>
            <a:ln w="28575">
              <a:noFill/>
            </a:ln>
          </c:spPr>
          <c:trendline>
            <c:trendlineType val="poly"/>
            <c:order val="4"/>
            <c:dispRSqr val="1"/>
            <c:dispEq val="1"/>
            <c:trendlineLbl>
              <c:layout>
                <c:manualLayout>
                  <c:x val="0.38729199475065623"/>
                  <c:y val="0.55508092738407711"/>
                </c:manualLayout>
              </c:layout>
              <c:numFmt formatCode="0.00000E+00" sourceLinked="0"/>
            </c:trendlineLbl>
          </c:trendline>
          <c:xVal>
            <c:numRef>
              <c:f>'plant performance'!$B$56:$B$77</c:f>
              <c:numCache>
                <c:formatCode>General</c:formatCode>
                <c:ptCount val="22"/>
                <c:pt idx="0">
                  <c:v>145.9278540865734</c:v>
                </c:pt>
                <c:pt idx="1">
                  <c:v>147.94453764921653</c:v>
                </c:pt>
                <c:pt idx="2">
                  <c:v>170.26621108815763</c:v>
                </c:pt>
                <c:pt idx="3">
                  <c:v>172.61152776737921</c:v>
                </c:pt>
                <c:pt idx="4">
                  <c:v>194.65562312263046</c:v>
                </c:pt>
                <c:pt idx="5">
                  <c:v>197.30489739180788</c:v>
                </c:pt>
                <c:pt idx="6">
                  <c:v>219.11753660245319</c:v>
                </c:pt>
                <c:pt idx="7">
                  <c:v>222.03578695314616</c:v>
                </c:pt>
                <c:pt idx="8">
                  <c:v>243.68966474259145</c:v>
                </c:pt>
                <c:pt idx="9">
                  <c:v>246.82381093567327</c:v>
                </c:pt>
                <c:pt idx="10">
                  <c:v>268.43595126826887</c:v>
                </c:pt>
                <c:pt idx="11">
                  <c:v>271.70189682508055</c:v>
                </c:pt>
                <c:pt idx="12">
                  <c:v>293.44426617824968</c:v>
                </c:pt>
                <c:pt idx="13">
                  <c:v>296.71423711005343</c:v>
                </c:pt>
                <c:pt idx="14">
                  <c:v>318.79276396867681</c:v>
                </c:pt>
                <c:pt idx="15">
                  <c:v>321.89802939916467</c:v>
                </c:pt>
                <c:pt idx="16">
                  <c:v>121.62585625956733</c:v>
                </c:pt>
                <c:pt idx="17">
                  <c:v>123.29635148603958</c:v>
                </c:pt>
                <c:pt idx="18">
                  <c:v>111.91235372461557</c:v>
                </c:pt>
                <c:pt idx="19">
                  <c:v>113.44085972950931</c:v>
                </c:pt>
                <c:pt idx="20">
                  <c:v>136.20342755501622</c:v>
                </c:pt>
                <c:pt idx="21">
                  <c:v>138.08338477996182</c:v>
                </c:pt>
              </c:numCache>
            </c:numRef>
          </c:xVal>
          <c:yVal>
            <c:numRef>
              <c:f>'plant performance'!$G$56:$G$77</c:f>
              <c:numCache>
                <c:formatCode>General</c:formatCode>
                <c:ptCount val="22"/>
                <c:pt idx="0">
                  <c:v>0.21651981848096213</c:v>
                </c:pt>
                <c:pt idx="1">
                  <c:v>0.24079109353037609</c:v>
                </c:pt>
                <c:pt idx="2">
                  <c:v>0.30089628343927283</c:v>
                </c:pt>
                <c:pt idx="3">
                  <c:v>0.32777066859037329</c:v>
                </c:pt>
                <c:pt idx="4">
                  <c:v>0.35053611599857132</c:v>
                </c:pt>
                <c:pt idx="5">
                  <c:v>0.37764624336534841</c:v>
                </c:pt>
                <c:pt idx="6">
                  <c:v>0.36914426601018663</c:v>
                </c:pt>
                <c:pt idx="7">
                  <c:v>0.39699656973153774</c:v>
                </c:pt>
                <c:pt idx="8">
                  <c:v>0.37559507228077338</c:v>
                </c:pt>
                <c:pt idx="9">
                  <c:v>0.40430492443194621</c:v>
                </c:pt>
                <c:pt idx="10">
                  <c:v>0.38003869240840421</c:v>
                </c:pt>
                <c:pt idx="11">
                  <c:v>0.40921685993659446</c:v>
                </c:pt>
                <c:pt idx="12">
                  <c:v>0.38345400466816615</c:v>
                </c:pt>
                <c:pt idx="13">
                  <c:v>0.41294421111555218</c:v>
                </c:pt>
                <c:pt idx="14">
                  <c:v>0.39121027784417761</c:v>
                </c:pt>
                <c:pt idx="15">
                  <c:v>0.42148801248173928</c:v>
                </c:pt>
                <c:pt idx="16">
                  <c:v>9.6267364173023576E-2</c:v>
                </c:pt>
                <c:pt idx="17">
                  <c:v>0.1146372861107279</c:v>
                </c:pt>
                <c:pt idx="18">
                  <c:v>2.4735095555170721E-2</c:v>
                </c:pt>
                <c:pt idx="19">
                  <c:v>4.1584553639447949E-2</c:v>
                </c:pt>
                <c:pt idx="20">
                  <c:v>0.1693610607053242</c:v>
                </c:pt>
                <c:pt idx="21">
                  <c:v>0.19228583245223421</c:v>
                </c:pt>
              </c:numCache>
            </c:numRef>
          </c:yVal>
        </c:ser>
        <c:axId val="78301824"/>
        <c:axId val="78303616"/>
      </c:scatterChart>
      <c:valAx>
        <c:axId val="78301824"/>
        <c:scaling>
          <c:orientation val="minMax"/>
        </c:scaling>
        <c:axPos val="b"/>
        <c:numFmt formatCode="General" sourceLinked="1"/>
        <c:tickLblPos val="nextTo"/>
        <c:crossAx val="78303616"/>
        <c:crosses val="autoZero"/>
        <c:crossBetween val="midCat"/>
      </c:valAx>
      <c:valAx>
        <c:axId val="78303616"/>
        <c:scaling>
          <c:orientation val="minMax"/>
        </c:scaling>
        <c:axPos val="l"/>
        <c:majorGridlines/>
        <c:numFmt formatCode="General" sourceLinked="1"/>
        <c:tickLblPos val="nextTo"/>
        <c:crossAx val="78301824"/>
        <c:crosses val="autoZero"/>
        <c:crossBetween val="midCat"/>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205740</xdr:colOff>
      <xdr:row>21</xdr:row>
      <xdr:rowOff>144780</xdr:rowOff>
    </xdr:from>
    <xdr:to>
      <xdr:col>24</xdr:col>
      <xdr:colOff>365760</xdr:colOff>
      <xdr:row>40</xdr:row>
      <xdr:rowOff>53340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xdr:colOff>
      <xdr:row>362</xdr:row>
      <xdr:rowOff>99060</xdr:rowOff>
    </xdr:from>
    <xdr:to>
      <xdr:col>11</xdr:col>
      <xdr:colOff>365760</xdr:colOff>
      <xdr:row>378</xdr:row>
      <xdr:rowOff>160020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205740</xdr:colOff>
      <xdr:row>53</xdr:row>
      <xdr:rowOff>68580</xdr:rowOff>
    </xdr:from>
    <xdr:to>
      <xdr:col>20</xdr:col>
      <xdr:colOff>510540</xdr:colOff>
      <xdr:row>69</xdr:row>
      <xdr:rowOff>129540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2:B12"/>
  <sheetViews>
    <sheetView showGridLines="0" workbookViewId="0">
      <selection activeCell="B1" sqref="B1"/>
    </sheetView>
  </sheetViews>
  <sheetFormatPr defaultRowHeight="12.75"/>
  <cols>
    <col min="1" max="1" width="5.28515625" customWidth="1"/>
    <col min="2" max="2" width="115.7109375" customWidth="1"/>
  </cols>
  <sheetData>
    <row r="2" spans="2:2" ht="32.450000000000003" customHeight="1">
      <c r="B2" s="72" t="s">
        <v>157</v>
      </c>
    </row>
    <row r="4" spans="2:2" ht="32.450000000000003" customHeight="1">
      <c r="B4" s="71" t="s">
        <v>155</v>
      </c>
    </row>
    <row r="6" spans="2:2" ht="76.5">
      <c r="B6" s="71" t="s">
        <v>159</v>
      </c>
    </row>
    <row r="8" spans="2:2" ht="114.75">
      <c r="B8" s="71" t="s">
        <v>158</v>
      </c>
    </row>
    <row r="10" spans="2:2" ht="63.75">
      <c r="B10" s="71" t="s">
        <v>154</v>
      </c>
    </row>
    <row r="12" spans="2:2" ht="51">
      <c r="B12" s="71" t="s">
        <v>156</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24"/>
  <sheetViews>
    <sheetView showGridLines="0" tabSelected="1" topLeftCell="B1" workbookViewId="0">
      <selection activeCell="D11" sqref="D11"/>
    </sheetView>
  </sheetViews>
  <sheetFormatPr defaultColWidth="9.140625" defaultRowHeight="12.75"/>
  <cols>
    <col min="1" max="1" width="6.140625" style="3" hidden="1" customWidth="1"/>
    <col min="2" max="2" width="38.28515625" style="1" customWidth="1"/>
    <col min="3" max="3" width="8.5703125" style="3" customWidth="1"/>
    <col min="4" max="4" width="14.5703125" style="3" customWidth="1"/>
    <col min="5" max="5" width="2.85546875" style="3" customWidth="1"/>
    <col min="6" max="9" width="9.140625" style="3"/>
    <col min="10" max="10" width="12.28515625" style="3" customWidth="1"/>
    <col min="11" max="13" width="9.140625" style="3"/>
    <col min="14" max="16" width="9.140625" style="3" hidden="1" customWidth="1"/>
    <col min="17" max="17" width="9.140625" style="2" hidden="1" customWidth="1"/>
    <col min="18" max="18" width="9.140625" style="3" hidden="1" customWidth="1"/>
    <col min="19" max="19" width="0" hidden="1" customWidth="1"/>
    <col min="20" max="22" width="0" style="3" hidden="1" customWidth="1"/>
    <col min="23" max="16384" width="9.140625" style="3"/>
  </cols>
  <sheetData>
    <row r="1" spans="1:22">
      <c r="N1" s="2" t="s">
        <v>38</v>
      </c>
      <c r="O1" s="2" t="s">
        <v>1</v>
      </c>
      <c r="P1" s="3" t="s">
        <v>42</v>
      </c>
      <c r="Q1" s="2" t="s">
        <v>4</v>
      </c>
      <c r="R1" s="2" t="s">
        <v>8</v>
      </c>
      <c r="S1" s="2" t="s">
        <v>48</v>
      </c>
      <c r="T1" s="17" t="s">
        <v>14</v>
      </c>
      <c r="U1" s="3" t="s">
        <v>118</v>
      </c>
      <c r="V1" s="3" t="s">
        <v>97</v>
      </c>
    </row>
    <row r="2" spans="1:22" ht="13.5" thickBot="1">
      <c r="B2" s="82" t="s">
        <v>40</v>
      </c>
      <c r="N2" s="2" t="s">
        <v>39</v>
      </c>
      <c r="O2" s="2" t="s">
        <v>2</v>
      </c>
      <c r="P2" s="3" t="s">
        <v>43</v>
      </c>
      <c r="Q2" s="2" t="s">
        <v>5</v>
      </c>
      <c r="R2" s="2" t="s">
        <v>9</v>
      </c>
      <c r="S2" s="2" t="s">
        <v>85</v>
      </c>
      <c r="T2" s="17" t="s">
        <v>15</v>
      </c>
      <c r="U2" s="3" t="s">
        <v>119</v>
      </c>
      <c r="V2" s="3" t="s">
        <v>122</v>
      </c>
    </row>
    <row r="3" spans="1:22" ht="16.5" thickBot="1">
      <c r="A3" s="3">
        <f>IF(D3=N1,0,1)</f>
        <v>1</v>
      </c>
      <c r="B3" s="83"/>
      <c r="C3" s="56"/>
      <c r="D3" s="57" t="s">
        <v>39</v>
      </c>
      <c r="N3" s="2"/>
      <c r="O3" s="2"/>
      <c r="R3" s="2" t="s">
        <v>10</v>
      </c>
    </row>
    <row r="4" spans="1:22" ht="13.5" thickBot="1">
      <c r="C4" s="56"/>
      <c r="D4" s="56"/>
      <c r="N4" s="2"/>
      <c r="O4" s="2"/>
      <c r="R4" s="2" t="s">
        <v>11</v>
      </c>
    </row>
    <row r="5" spans="1:22" ht="16.5" thickBot="1">
      <c r="A5" s="3">
        <f>IF(C5=O1,0,1)</f>
        <v>0</v>
      </c>
      <c r="B5" s="6" t="s">
        <v>0</v>
      </c>
      <c r="C5" s="58" t="s">
        <v>1</v>
      </c>
      <c r="D5" s="59">
        <v>200</v>
      </c>
      <c r="F5" s="3" t="s">
        <v>52</v>
      </c>
      <c r="O5" s="2"/>
      <c r="Q5" s="3"/>
    </row>
    <row r="6" spans="1:22" ht="16.5" thickBot="1">
      <c r="A6" s="3">
        <f>IF(C6=O1,0,1)</f>
        <v>0</v>
      </c>
      <c r="B6" s="6" t="s">
        <v>3</v>
      </c>
      <c r="C6" s="58" t="s">
        <v>1</v>
      </c>
      <c r="D6" s="60">
        <v>10</v>
      </c>
      <c r="F6" s="3" t="s">
        <v>86</v>
      </c>
      <c r="Q6" s="3"/>
    </row>
    <row r="7" spans="1:22" ht="30" customHeight="1" thickBot="1">
      <c r="A7" s="19">
        <f>IF(D7=P1,0,1)</f>
        <v>1</v>
      </c>
      <c r="B7" s="73" t="s">
        <v>46</v>
      </c>
      <c r="C7" s="61"/>
      <c r="D7" s="62" t="s">
        <v>43</v>
      </c>
      <c r="F7" s="67" t="s">
        <v>44</v>
      </c>
      <c r="G7" s="18"/>
      <c r="H7" s="18"/>
      <c r="I7" s="18"/>
      <c r="J7" s="18"/>
      <c r="K7" s="18"/>
      <c r="L7" s="18"/>
      <c r="M7" s="18"/>
      <c r="Q7" s="3"/>
    </row>
    <row r="8" spans="1:22" ht="16.5" thickBot="1">
      <c r="A8" s="3">
        <f>IF(C8=Q1,0,1)</f>
        <v>0</v>
      </c>
      <c r="B8" s="6" t="s">
        <v>6</v>
      </c>
      <c r="C8" s="63" t="s">
        <v>4</v>
      </c>
      <c r="D8" s="59">
        <v>10</v>
      </c>
      <c r="F8" s="3" t="s">
        <v>19</v>
      </c>
    </row>
    <row r="9" spans="1:22" ht="16.5" thickBot="1">
      <c r="A9" s="3">
        <f>IF(C9=R1,0,IF(C9=R2,1,IF(C9=R3,2,3)))</f>
        <v>3</v>
      </c>
      <c r="B9" s="6" t="s">
        <v>45</v>
      </c>
      <c r="C9" s="64" t="s">
        <v>11</v>
      </c>
      <c r="D9" s="65">
        <v>20000</v>
      </c>
    </row>
    <row r="10" spans="1:22" ht="16.5" thickBot="1">
      <c r="A10" s="3">
        <f>IF(D10=R1,0,IF(D10=R2,1,IF(D10=R3,2,3)))</f>
        <v>1</v>
      </c>
      <c r="B10" s="6" t="s">
        <v>7</v>
      </c>
      <c r="C10" s="56"/>
      <c r="D10" s="64" t="s">
        <v>9</v>
      </c>
      <c r="F10" s="3" t="s">
        <v>20</v>
      </c>
      <c r="S10" s="3"/>
    </row>
    <row r="11" spans="1:22" ht="16.5" thickBot="1">
      <c r="A11" s="3">
        <f>IF(D11=S1,0,1)</f>
        <v>0</v>
      </c>
      <c r="B11" s="6" t="s">
        <v>84</v>
      </c>
      <c r="C11" s="56"/>
      <c r="D11" s="64" t="s">
        <v>48</v>
      </c>
      <c r="F11" s="49" t="str">
        <f>IF(AND('plant performance'!C3&gt;392,A11=0),"Resource temperature maybe too high for Binary",IF(AND('plant performance'!C4&lt;240,A11=1),"Resource temperature too low for flash steam",""))</f>
        <v/>
      </c>
      <c r="S11" s="3"/>
    </row>
    <row r="12" spans="1:22" ht="16.5" thickBot="1">
      <c r="A12" s="3">
        <f>IF(D12=T1,0,1)</f>
        <v>1</v>
      </c>
      <c r="B12" s="6" t="s">
        <v>12</v>
      </c>
      <c r="C12" s="56"/>
      <c r="D12" s="64" t="s">
        <v>15</v>
      </c>
      <c r="F12" s="3" t="s">
        <v>21</v>
      </c>
      <c r="S12" s="3"/>
    </row>
    <row r="13" spans="1:22" ht="16.5" thickBot="1">
      <c r="B13" s="6" t="s">
        <v>16</v>
      </c>
      <c r="D13" s="68">
        <v>0</v>
      </c>
      <c r="F13" s="49" t="str">
        <f>IF(D13&lt;0.5," ","Inputted value is higher than practical for geothermal plants")</f>
        <v xml:space="preserve"> </v>
      </c>
      <c r="S13" s="3"/>
    </row>
    <row r="14" spans="1:22" ht="15.75">
      <c r="B14" s="6" t="s">
        <v>18</v>
      </c>
      <c r="D14" s="7">
        <f>IF(A12=0,D13,IF(A11=0,'plant performance'!E3,'plant performance'!E4))</f>
        <v>0.42985179999999978</v>
      </c>
      <c r="S14" s="3"/>
    </row>
    <row r="15" spans="1:22" ht="15.75">
      <c r="B15" s="6" t="s">
        <v>34</v>
      </c>
      <c r="C15" s="2" t="s">
        <v>36</v>
      </c>
      <c r="D15" s="9">
        <f>IF(A3=0,WinSteam!I5,'Property fit'!I5)</f>
        <v>24.245041574669326</v>
      </c>
      <c r="F15" s="3" t="s">
        <v>35</v>
      </c>
      <c r="S15" s="3"/>
    </row>
    <row r="16" spans="1:22" ht="13.5" thickBot="1">
      <c r="B16" s="3"/>
      <c r="F16" s="70"/>
      <c r="S16" s="3"/>
    </row>
    <row r="17" spans="1:19" ht="31.15" customHeight="1" thickBot="1">
      <c r="A17" s="19">
        <f>IF(D17=U1,0,1)</f>
        <v>0</v>
      </c>
      <c r="B17" s="74" t="s">
        <v>117</v>
      </c>
      <c r="C17" s="56"/>
      <c r="D17" s="62" t="s">
        <v>118</v>
      </c>
      <c r="F17" s="69" t="str">
        <f>IF(AND(calculations!C3&gt;392,OR(Estimator!D18&gt;0,Estimator!D19&gt;0)),"GF Pumps may not be available for this resource temp",IF(AND(A11=1,OR(D18&gt;0,D19&gt;0)),"Flash cycles may not need pumps"," "))</f>
        <v xml:space="preserve"> </v>
      </c>
      <c r="S17" s="3"/>
    </row>
    <row r="18" spans="1:19" ht="16.5" thickBot="1">
      <c r="B18" s="75" t="s">
        <v>120</v>
      </c>
      <c r="C18" s="56"/>
      <c r="D18" s="66">
        <v>0</v>
      </c>
      <c r="F18" s="70" t="str">
        <f>IF(F17=" "," ","to eliminate GF pumping, fraction to value of '0'; setting depth to '0' will eliminate production, but not injection pumping")</f>
        <v xml:space="preserve"> </v>
      </c>
      <c r="S18" s="3"/>
    </row>
    <row r="19" spans="1:19" ht="16.5" thickBot="1">
      <c r="A19" s="19">
        <f>IF(C19=V1,0,1)</f>
        <v>0</v>
      </c>
      <c r="B19" s="22" t="s">
        <v>121</v>
      </c>
      <c r="C19" s="64" t="s">
        <v>97</v>
      </c>
      <c r="D19" s="65">
        <v>0</v>
      </c>
      <c r="S19" s="3"/>
    </row>
    <row r="20" spans="1:19" ht="13.5" thickBot="1">
      <c r="S20" s="3"/>
    </row>
    <row r="21" spans="1:19" ht="21" customHeight="1">
      <c r="B21" s="76" t="s">
        <v>17</v>
      </c>
      <c r="C21" s="77" t="str">
        <f>D10</f>
        <v>gpm</v>
      </c>
      <c r="D21" s="80">
        <f>calculations!C34</f>
        <v>2218.5262793836018</v>
      </c>
      <c r="S21" s="3"/>
    </row>
    <row r="22" spans="1:19" ht="15.75" customHeight="1" thickBot="1">
      <c r="B22" s="76"/>
      <c r="C22" s="77"/>
      <c r="D22" s="81"/>
      <c r="S22" s="3"/>
    </row>
    <row r="23" spans="1:19">
      <c r="B23" s="76" t="s">
        <v>47</v>
      </c>
      <c r="C23" s="77" t="s">
        <v>5</v>
      </c>
      <c r="D23" s="78">
        <f>calculations!C28</f>
        <v>2629.3731057150571</v>
      </c>
      <c r="S23" s="3"/>
    </row>
    <row r="24" spans="1:19" ht="13.5" thickBot="1">
      <c r="B24" s="76"/>
      <c r="C24" s="77"/>
      <c r="D24" s="79"/>
      <c r="S24" s="3"/>
    </row>
  </sheetData>
  <sheetProtection sheet="1" objects="1" scenarios="1"/>
  <mergeCells count="7">
    <mergeCell ref="B2:B3"/>
    <mergeCell ref="B23:B24"/>
    <mergeCell ref="C23:C24"/>
    <mergeCell ref="D23:D24"/>
    <mergeCell ref="B21:B22"/>
    <mergeCell ref="C21:C22"/>
    <mergeCell ref="D21:D22"/>
  </mergeCells>
  <phoneticPr fontId="8" type="noConversion"/>
  <conditionalFormatting sqref="B13:D13 F13">
    <cfRule type="expression" dxfId="4" priority="13" stopIfTrue="1">
      <formula>$A$12=1</formula>
    </cfRule>
  </conditionalFormatting>
  <conditionalFormatting sqref="B23:E24 B9:D9 F9">
    <cfRule type="expression" dxfId="3" priority="12">
      <formula>$A$7=0</formula>
    </cfRule>
  </conditionalFormatting>
  <conditionalFormatting sqref="B21:F22 B8:D8 F8 B10:D10 F10">
    <cfRule type="expression" dxfId="2" priority="11">
      <formula>$A$7=1</formula>
    </cfRule>
  </conditionalFormatting>
  <conditionalFormatting sqref="B18:E18 G18">
    <cfRule type="expression" dxfId="1" priority="6">
      <formula>$A$17=1</formula>
    </cfRule>
  </conditionalFormatting>
  <conditionalFormatting sqref="B19:E19">
    <cfRule type="expression" dxfId="0" priority="3">
      <formula>$A$17=0</formula>
    </cfRule>
  </conditionalFormatting>
  <dataValidations count="9">
    <dataValidation type="list" allowBlank="1" showInputMessage="1" showErrorMessage="1" sqref="D3">
      <formula1>$N$1:$N$2</formula1>
    </dataValidation>
    <dataValidation type="list" allowBlank="1" showInputMessage="1" showErrorMessage="1" sqref="C8">
      <formula1>$Q$1:$Q$2</formula1>
    </dataValidation>
    <dataValidation type="list" allowBlank="1" showInputMessage="1" showErrorMessage="1" sqref="D12">
      <formula1>$T$1:$T$2</formula1>
    </dataValidation>
    <dataValidation type="list" allowBlank="1" showInputMessage="1" showErrorMessage="1" sqref="C9 D10">
      <formula1>$R$1:$R$4</formula1>
    </dataValidation>
    <dataValidation type="list" allowBlank="1" showInputMessage="1" showErrorMessage="1" sqref="C5:C6">
      <formula1>$O$1:$O$2</formula1>
    </dataValidation>
    <dataValidation type="list" allowBlank="1" showInputMessage="1" showErrorMessage="1" sqref="D7">
      <formula1>$P$1:$P$2</formula1>
    </dataValidation>
    <dataValidation type="list" allowBlank="1" showInputMessage="1" showErrorMessage="1" sqref="D11">
      <formula1>$S$1:$S$2</formula1>
    </dataValidation>
    <dataValidation type="list" allowBlank="1" showInputMessage="1" showErrorMessage="1" sqref="D17">
      <formula1>$U$1:$U$2</formula1>
    </dataValidation>
    <dataValidation type="list" allowBlank="1" showInputMessage="1" showErrorMessage="1" sqref="C19">
      <formula1>$V$1:$V$2</formula1>
    </dataValidation>
  </dataValidations>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dimension ref="A2:L34"/>
  <sheetViews>
    <sheetView topLeftCell="A7" workbookViewId="0">
      <selection activeCell="C26" sqref="C26"/>
    </sheetView>
  </sheetViews>
  <sheetFormatPr defaultColWidth="8.85546875" defaultRowHeight="12.75"/>
  <cols>
    <col min="1" max="1" width="8.85546875" style="42"/>
    <col min="2" max="2" width="22.140625" style="42" customWidth="1"/>
    <col min="3" max="3" width="12" style="42" customWidth="1"/>
    <col min="4" max="8" width="8.85546875" style="42"/>
    <col min="9" max="9" width="9" style="42" bestFit="1" customWidth="1"/>
    <col min="10" max="16384" width="8.85546875" style="42"/>
  </cols>
  <sheetData>
    <row r="2" spans="1:12">
      <c r="K2" s="42">
        <v>2.2046199999999998</v>
      </c>
      <c r="L2" s="42" t="s">
        <v>128</v>
      </c>
    </row>
    <row r="3" spans="1:12">
      <c r="B3" s="42" t="s">
        <v>123</v>
      </c>
      <c r="C3" s="50">
        <f>'Property fit'!C5</f>
        <v>392</v>
      </c>
      <c r="D3" s="42" t="s">
        <v>2</v>
      </c>
      <c r="K3" s="42">
        <v>7.4805000000000001</v>
      </c>
      <c r="L3" s="42" t="s">
        <v>129</v>
      </c>
    </row>
    <row r="4" spans="1:12">
      <c r="A4" s="42">
        <f>Estimator!A7</f>
        <v>1</v>
      </c>
      <c r="B4" s="42" t="s">
        <v>124</v>
      </c>
      <c r="C4" s="42" t="str">
        <f>IF(A4=1,"Power Output","Flow Rate")</f>
        <v>Power Output</v>
      </c>
      <c r="K4" s="42">
        <v>42</v>
      </c>
      <c r="L4" s="42" t="s">
        <v>130</v>
      </c>
    </row>
    <row r="5" spans="1:12">
      <c r="A5" s="42">
        <f>Estimator!A8</f>
        <v>0</v>
      </c>
      <c r="B5" s="42" t="s">
        <v>125</v>
      </c>
      <c r="C5" s="42">
        <f>Estimator!D8</f>
        <v>10</v>
      </c>
      <c r="D5" s="42" t="str">
        <f>Estimator!C8</f>
        <v>MW</v>
      </c>
      <c r="K5" s="42">
        <v>3.2808299999999999</v>
      </c>
      <c r="L5" s="42" t="s">
        <v>139</v>
      </c>
    </row>
    <row r="6" spans="1:12">
      <c r="A6" s="42">
        <f>Estimator!A9</f>
        <v>3</v>
      </c>
      <c r="B6" s="42" t="s">
        <v>42</v>
      </c>
      <c r="C6" s="42">
        <f>Estimator!D9</f>
        <v>20000</v>
      </c>
      <c r="D6" s="42" t="str">
        <f>Estimator!C9</f>
        <v>bbl/day</v>
      </c>
    </row>
    <row r="7" spans="1:12">
      <c r="B7" s="42" t="s">
        <v>126</v>
      </c>
      <c r="C7" s="42">
        <f>'Property fit'!E5</f>
        <v>53.922884582877685</v>
      </c>
      <c r="D7" s="42" t="s">
        <v>95</v>
      </c>
      <c r="I7" s="42">
        <f>C6*K4/24</f>
        <v>35000</v>
      </c>
      <c r="J7" s="42" t="s">
        <v>131</v>
      </c>
    </row>
    <row r="8" spans="1:12">
      <c r="B8" s="42" t="s">
        <v>135</v>
      </c>
      <c r="C8" s="51">
        <f>IF(A6=0,1,IF(A6=1,1*60*C7/K3,IF(A6=2,K2*3600,1*K4*C7/(24*K3))))</f>
        <v>12.614804895399496</v>
      </c>
      <c r="I8" s="42">
        <f>I7/K3</f>
        <v>4678.8316289018112</v>
      </c>
      <c r="J8" s="42" t="s">
        <v>132</v>
      </c>
    </row>
    <row r="9" spans="1:12">
      <c r="B9" s="42" t="s">
        <v>127</v>
      </c>
      <c r="C9" s="43">
        <f>C8*C6</f>
        <v>252296.09790798993</v>
      </c>
      <c r="D9" s="42" t="s">
        <v>8</v>
      </c>
      <c r="I9" s="42">
        <f>I8*C7</f>
        <v>252296.09790798996</v>
      </c>
      <c r="J9" s="42" t="s">
        <v>8</v>
      </c>
    </row>
    <row r="10" spans="1:12">
      <c r="B10" s="42" t="s">
        <v>34</v>
      </c>
      <c r="C10" s="55">
        <f>Estimator!D15</f>
        <v>24.245041574669326</v>
      </c>
      <c r="D10" s="42" t="s">
        <v>36</v>
      </c>
    </row>
    <row r="11" spans="1:12">
      <c r="B11" s="42" t="s">
        <v>12</v>
      </c>
      <c r="C11" s="54">
        <f>Estimator!D14</f>
        <v>0.42985179999999978</v>
      </c>
      <c r="I11" s="42">
        <f>C6*K2</f>
        <v>44092.399999999994</v>
      </c>
      <c r="J11" s="42" t="s">
        <v>133</v>
      </c>
    </row>
    <row r="12" spans="1:12">
      <c r="B12" s="42" t="s">
        <v>143</v>
      </c>
      <c r="C12" s="55">
        <f>C10*C11</f>
        <v>10.421774761946439</v>
      </c>
      <c r="D12" s="42" t="s">
        <v>36</v>
      </c>
      <c r="I12" s="42">
        <f>I11*3600</f>
        <v>158732639.99999997</v>
      </c>
      <c r="J12" s="42" t="s">
        <v>8</v>
      </c>
    </row>
    <row r="13" spans="1:12">
      <c r="B13" s="42" t="s">
        <v>100</v>
      </c>
      <c r="C13" s="43">
        <f>C12*C9/1000</f>
        <v>2629.3731057150571</v>
      </c>
      <c r="D13" s="42" t="s">
        <v>5</v>
      </c>
    </row>
    <row r="14" spans="1:12">
      <c r="A14" s="42">
        <f>Estimator!A17</f>
        <v>0</v>
      </c>
      <c r="B14" s="42" t="s">
        <v>136</v>
      </c>
      <c r="C14" s="42" t="str">
        <f>Estimator!D17</f>
        <v>Fraction</v>
      </c>
      <c r="I14" s="42">
        <f>C6/7.4805</f>
        <v>2673.6180736581778</v>
      </c>
      <c r="J14" s="42" t="s">
        <v>134</v>
      </c>
    </row>
    <row r="15" spans="1:12">
      <c r="A15" s="42">
        <f>Estimator!A19</f>
        <v>0</v>
      </c>
      <c r="B15" s="42" t="s">
        <v>137</v>
      </c>
      <c r="C15" s="52">
        <f>Estimator!D18</f>
        <v>0</v>
      </c>
      <c r="I15" s="42">
        <f>I14*60</f>
        <v>160417.08441949065</v>
      </c>
      <c r="J15" s="42" t="s">
        <v>132</v>
      </c>
    </row>
    <row r="16" spans="1:12">
      <c r="B16" s="42" t="s">
        <v>138</v>
      </c>
      <c r="C16" s="42">
        <f>Estimator!D19</f>
        <v>0</v>
      </c>
      <c r="D16" s="42" t="str">
        <f>IF(A15=0,Estimator!V1,Estimator!V2)</f>
        <v>ft</v>
      </c>
      <c r="I16" s="42">
        <f>I15*C7</f>
        <v>8650151.9282739405</v>
      </c>
    </row>
    <row r="17" spans="2:4">
      <c r="B17" s="42" t="s">
        <v>140</v>
      </c>
      <c r="C17" s="42">
        <f>IF(A15=0,1,K5)</f>
        <v>1</v>
      </c>
    </row>
    <row r="18" spans="2:4">
      <c r="B18" s="42" t="s">
        <v>138</v>
      </c>
      <c r="C18" s="42">
        <f>C16*C17</f>
        <v>0</v>
      </c>
      <c r="D18" s="42" t="s">
        <v>97</v>
      </c>
    </row>
    <row r="19" spans="2:4">
      <c r="B19" s="42" t="s">
        <v>141</v>
      </c>
      <c r="C19" s="52">
        <v>0.7</v>
      </c>
    </row>
    <row r="20" spans="2:4">
      <c r="B20" s="42" t="s">
        <v>150</v>
      </c>
      <c r="C20" s="51">
        <f>(C18*1/(60*33000))/C19</f>
        <v>0</v>
      </c>
      <c r="D20" s="42" t="s">
        <v>144</v>
      </c>
    </row>
    <row r="21" spans="2:4">
      <c r="C21" s="51">
        <f>C20*0.7457</f>
        <v>0</v>
      </c>
      <c r="D21" s="42" t="s">
        <v>146</v>
      </c>
    </row>
    <row r="22" spans="2:4">
      <c r="B22" s="42" t="s">
        <v>151</v>
      </c>
      <c r="C22" s="51">
        <v>100</v>
      </c>
      <c r="D22" s="42" t="s">
        <v>152</v>
      </c>
    </row>
    <row r="23" spans="2:4">
      <c r="C23" s="51">
        <f>C22*144/60</f>
        <v>240</v>
      </c>
      <c r="D23" s="42" t="s">
        <v>97</v>
      </c>
    </row>
    <row r="24" spans="2:4">
      <c r="B24" s="42" t="s">
        <v>153</v>
      </c>
      <c r="C24" s="51">
        <f>(C23*1/(60*33000))/C19</f>
        <v>1.7316017316017316E-4</v>
      </c>
      <c r="D24" s="42" t="s">
        <v>144</v>
      </c>
    </row>
    <row r="25" spans="2:4">
      <c r="C25" s="51">
        <f>C24*0.7457</f>
        <v>1.2912554112554114E-4</v>
      </c>
      <c r="D25" s="42" t="s">
        <v>146</v>
      </c>
    </row>
    <row r="26" spans="2:4">
      <c r="B26" s="42" t="s">
        <v>136</v>
      </c>
      <c r="C26" s="51">
        <f>IF(A14=1,(C21+C25)*1000,(C15)*C12)</f>
        <v>0</v>
      </c>
      <c r="D26" s="42" t="s">
        <v>36</v>
      </c>
    </row>
    <row r="27" spans="2:4">
      <c r="B27" s="42" t="s">
        <v>145</v>
      </c>
      <c r="C27" s="53">
        <f>C26*C9/1000</f>
        <v>0</v>
      </c>
      <c r="D27" s="42" t="s">
        <v>5</v>
      </c>
    </row>
    <row r="28" spans="2:4">
      <c r="B28" s="42" t="s">
        <v>142</v>
      </c>
      <c r="C28" s="43">
        <f>C13-C27</f>
        <v>2629.3731057150571</v>
      </c>
      <c r="D28" s="42" t="s">
        <v>5</v>
      </c>
    </row>
    <row r="30" spans="2:4">
      <c r="B30" s="42" t="s">
        <v>147</v>
      </c>
      <c r="C30" s="55">
        <f>C12-C26</f>
        <v>10.421774761946439</v>
      </c>
      <c r="D30" s="42" t="s">
        <v>36</v>
      </c>
    </row>
    <row r="31" spans="2:4">
      <c r="B31" s="42" t="s">
        <v>90</v>
      </c>
      <c r="C31" s="43">
        <f>IF(A5=0,1000000,1000)*C5</f>
        <v>10000000</v>
      </c>
      <c r="D31" s="42" t="s">
        <v>148</v>
      </c>
    </row>
    <row r="32" spans="2:4">
      <c r="B32" s="42" t="s">
        <v>89</v>
      </c>
      <c r="C32" s="43">
        <f>C31/C30</f>
        <v>959529.46867682389</v>
      </c>
      <c r="D32" s="42" t="s">
        <v>8</v>
      </c>
    </row>
    <row r="33" spans="1:4">
      <c r="A33" s="42">
        <f>Estimator!A10</f>
        <v>1</v>
      </c>
      <c r="B33" s="42" t="s">
        <v>149</v>
      </c>
      <c r="C33" s="42">
        <f>IF(A33=0,1,IF(A33=1,K3/(60*C7),IF(A33=2,1/(K2*3600),24*K3/(K4*C7))))</f>
        <v>2.3120981187194959E-3</v>
      </c>
    </row>
    <row r="34" spans="1:4">
      <c r="C34" s="42">
        <f>C32*C33</f>
        <v>2218.5262793836018</v>
      </c>
      <c r="D34" s="42" t="str">
        <f>Estimator!D10</f>
        <v>gpm</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6"/>
  <sheetViews>
    <sheetView workbookViewId="0">
      <selection activeCell="D5" sqref="D5"/>
    </sheetView>
  </sheetViews>
  <sheetFormatPr defaultColWidth="9.140625" defaultRowHeight="12.75"/>
  <cols>
    <col min="1" max="16384" width="9.140625" style="3"/>
  </cols>
  <sheetData>
    <row r="1" spans="1:9" s="11" customFormat="1" ht="15">
      <c r="A1" s="8" t="s">
        <v>27</v>
      </c>
    </row>
    <row r="2" spans="1:9" s="11" customFormat="1" ht="15">
      <c r="A2" s="8"/>
    </row>
    <row r="3" spans="1:9" s="10" customFormat="1" ht="15.75">
      <c r="C3" s="5" t="s">
        <v>22</v>
      </c>
      <c r="D3" s="5" t="s">
        <v>23</v>
      </c>
      <c r="E3" s="5" t="s">
        <v>28</v>
      </c>
      <c r="F3" s="5" t="s">
        <v>24</v>
      </c>
      <c r="G3" s="5" t="s">
        <v>25</v>
      </c>
      <c r="H3" s="5" t="s">
        <v>26</v>
      </c>
      <c r="I3" s="5" t="s">
        <v>26</v>
      </c>
    </row>
    <row r="4" spans="1:9">
      <c r="C4" s="4" t="s">
        <v>29</v>
      </c>
      <c r="D4" s="4" t="s">
        <v>30</v>
      </c>
      <c r="E4" s="4" t="s">
        <v>31</v>
      </c>
      <c r="F4" s="4" t="s">
        <v>32</v>
      </c>
      <c r="G4" s="4" t="s">
        <v>33</v>
      </c>
      <c r="H4" s="4" t="s">
        <v>32</v>
      </c>
      <c r="I4" s="4" t="s">
        <v>37</v>
      </c>
    </row>
    <row r="5" spans="1:9" s="9" customFormat="1" ht="15.75">
      <c r="B5" s="9" t="s">
        <v>13</v>
      </c>
      <c r="C5" s="9">
        <f>IF(Estimator!C5=Estimator!O1,Estimator!D5*1.8+32,Estimator!D5)</f>
        <v>392</v>
      </c>
      <c r="D5" s="9" t="e">
        <f ca="1">_xll.StmTP(C5,"eng")+0.001</f>
        <v>#NAME?</v>
      </c>
      <c r="E5" s="9" t="e">
        <f ca="1">1/_xll.StmPTV(D5,C5,"eng")</f>
        <v>#NAME?</v>
      </c>
      <c r="F5" s="9" t="e">
        <f ca="1">_xll.StmPTH(D5,C5,"eng")</f>
        <v>#NAME?</v>
      </c>
      <c r="G5" s="12" t="e">
        <f ca="1">_xll.StmPTS(D5,C5,"eng")</f>
        <v>#NAME?</v>
      </c>
      <c r="H5" s="9" t="e">
        <f ca="1">(F5-F6)-(C6+460)*(G5-G6)</f>
        <v>#NAME?</v>
      </c>
      <c r="I5" s="9" t="e">
        <f ca="1">H5/3.413</f>
        <v>#NAME?</v>
      </c>
    </row>
    <row r="6" spans="1:9" s="9" customFormat="1" ht="15.75">
      <c r="B6" s="9" t="s">
        <v>3</v>
      </c>
      <c r="C6" s="9">
        <f>IF(Estimator!C6=Estimator!O1,Estimator!D6*1.8+32,Estimator!D6)</f>
        <v>50</v>
      </c>
      <c r="D6" s="9">
        <v>14.7</v>
      </c>
      <c r="F6" s="9" t="e">
        <f ca="1">_xll.StmPTH(D6,C6,"eng")</f>
        <v>#NAME?</v>
      </c>
      <c r="G6" s="12" t="e">
        <f ca="1">_xll.StmPTS(D6,C6,"eng")</f>
        <v>#NAME?</v>
      </c>
    </row>
  </sheetData>
  <sheetProtection sheet="1" objects="1" scenarios="1"/>
  <phoneticPr fontId="8"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S10"/>
  <sheetViews>
    <sheetView topLeftCell="C1" workbookViewId="0">
      <selection activeCell="C5" sqref="C5"/>
    </sheetView>
  </sheetViews>
  <sheetFormatPr defaultColWidth="9.140625" defaultRowHeight="12.75"/>
  <cols>
    <col min="1" max="13" width="9.140625" style="3"/>
    <col min="14" max="14" width="16.28515625" style="3" bestFit="1" customWidth="1"/>
    <col min="15" max="15" width="15.5703125" style="3" bestFit="1" customWidth="1"/>
    <col min="16" max="16" width="16.28515625" style="3" bestFit="1" customWidth="1"/>
    <col min="17" max="17" width="15.5703125" style="3" bestFit="1" customWidth="1"/>
    <col min="18" max="18" width="16.7109375" style="3" bestFit="1" customWidth="1"/>
    <col min="19" max="16384" width="9.140625" style="3"/>
  </cols>
  <sheetData>
    <row r="1" spans="1:19" s="11" customFormat="1" ht="15">
      <c r="A1" s="8" t="s">
        <v>27</v>
      </c>
    </row>
    <row r="2" spans="1:19" s="11" customFormat="1" ht="15">
      <c r="A2" s="8"/>
      <c r="O2" s="11">
        <v>125</v>
      </c>
      <c r="P2" s="11">
        <v>325</v>
      </c>
      <c r="Q2" s="11">
        <v>675</v>
      </c>
    </row>
    <row r="3" spans="1:19" s="10" customFormat="1" ht="15.75">
      <c r="C3" s="5" t="s">
        <v>22</v>
      </c>
      <c r="D3" s="5" t="s">
        <v>23</v>
      </c>
      <c r="E3" s="5" t="s">
        <v>28</v>
      </c>
      <c r="F3" s="5" t="s">
        <v>24</v>
      </c>
      <c r="G3" s="5" t="s">
        <v>25</v>
      </c>
      <c r="H3" s="5" t="s">
        <v>26</v>
      </c>
      <c r="I3" s="5" t="s">
        <v>26</v>
      </c>
      <c r="M3" s="10" t="s">
        <v>23</v>
      </c>
      <c r="N3" s="10">
        <f>IF(C5&lt;P2,O3,IF(C5&lt;Q2,P3,Q3))</f>
        <v>225.49361090003072</v>
      </c>
      <c r="O3" s="13">
        <f xml:space="preserve"> -0.0000000000000280188*C5^6 + 0.0000000000434771*C5^5 - 0.00000000675074*C5^4 + 0.00000158988*C5^3 - 0.0000909892*C5^2 + 0.00600322*J3 - 0.0607916</f>
        <v>223.09003096974214</v>
      </c>
      <c r="P3" s="13">
        <f xml:space="preserve"> 0.00000000000024303*C5^6 - 0.000000000662939*C5^5 + 0.000000768058*C5^4 - 0.000453695*C5^3 + 0.150475*C5^2 - 26.49*C5 + 1934.47</f>
        <v>225.49361090003072</v>
      </c>
      <c r="Q3" s="14">
        <f xml:space="preserve"> 0.0000000000007261395*C5^6 - 0.00000000216551*C5^5 + 0.000002698676*C5^4 - 0.001765175*C5^3 + 0.6471745*C5^2 - 125.9218*C5 + 10153.58</f>
        <v>225.34017658665653</v>
      </c>
    </row>
    <row r="4" spans="1:19" ht="15.75">
      <c r="C4" s="4" t="s">
        <v>29</v>
      </c>
      <c r="D4" s="4" t="s">
        <v>30</v>
      </c>
      <c r="E4" s="4" t="s">
        <v>31</v>
      </c>
      <c r="F4" s="4" t="s">
        <v>32</v>
      </c>
      <c r="G4" s="4" t="s">
        <v>33</v>
      </c>
      <c r="H4" s="4" t="s">
        <v>32</v>
      </c>
      <c r="I4" s="4" t="s">
        <v>37</v>
      </c>
      <c r="M4" s="10" t="s">
        <v>24</v>
      </c>
      <c r="N4" s="10">
        <f>IF(C5&lt;P2,O4,IF(C5&lt;Q2,P4,Q4))</f>
        <v>366.4365700130129</v>
      </c>
      <c r="O4" s="15">
        <f xml:space="preserve"> 0.00000000025563678*C5^4 + 0.000000073480055*C5^3 - 0.000027703224*C5^2 + 0.9998551*C5 - 31.760088</f>
        <v>366.38854413826112</v>
      </c>
      <c r="P4" s="15">
        <f xml:space="preserve"> 5.8634263518E-11*C5^5 - 0.00000013378773724*C5^4 + 0.00012227602697*C5^3 - 0.055373746094*C5^2 + 13.426933583*C5 - 1137.0718729</f>
        <v>366.4365700130129</v>
      </c>
      <c r="Q4" s="14">
        <f xml:space="preserve"> 0.000037021613128*C5^5 - 0.12714518982*C5^4 + 174.6587566*C5^3 - 119960.00955*C5^2 + 41194401.715*C5 - 5658291651.7</f>
        <v>-82380031.358248711</v>
      </c>
    </row>
    <row r="5" spans="1:19" s="9" customFormat="1" ht="15.75">
      <c r="B5" s="9" t="s">
        <v>13</v>
      </c>
      <c r="C5" s="9">
        <f>IF(Estimator!C5=Estimator!O1,Estimator!D5*1.8+32,Estimator!D5)</f>
        <v>392</v>
      </c>
      <c r="D5" s="9">
        <f>N3+5</f>
        <v>230.49361090003072</v>
      </c>
      <c r="E5" s="9">
        <f>1/N5</f>
        <v>53.922884582877685</v>
      </c>
      <c r="F5" s="9">
        <f>N4</f>
        <v>366.4365700130129</v>
      </c>
      <c r="G5" s="12">
        <f>N6</f>
        <v>0.55681476850895395</v>
      </c>
      <c r="H5" s="9">
        <f>(F5-F6)-(C6+460)*(G5-G6)</f>
        <v>82.748326894346405</v>
      </c>
      <c r="I5" s="9">
        <f>H5/3.413</f>
        <v>24.245041574669326</v>
      </c>
      <c r="M5" s="10" t="s">
        <v>41</v>
      </c>
      <c r="N5" s="10">
        <f>IF(C5&lt;P2,O5,IF(C5&lt;Q2,P5,Q5))</f>
        <v>1.8545001954838547E-2</v>
      </c>
      <c r="O5">
        <f xml:space="preserve"> 2.866727E-19*C5^6 - 4.15989E-16*C5^5 + 0.0000000000003000713*C5^4 - 0.0000000001196363*C5^3 + 0.00000004123135*C5^2 - 0.00000236566*C5 + 0.01604886</f>
        <v>1.8526029927686854E-2</v>
      </c>
      <c r="P5">
        <f xml:space="preserve"> 5.814452E-17*C5^6 - 0.0000000000001638967*C5^5 + 0.0000000001909938*C5^4 - 0.0000001175919*C5^3 + 0.00004032932*C5^2 - 0.007293145*C5 + 0.5598079</f>
        <v>1.8545001954838547E-2</v>
      </c>
      <c r="Q5">
        <f xml:space="preserve"> 0.0000000001812141*C5^6 - 0.0000007422502*C5^5 + 0.001266688*C5^4 - 1.152816*C5^3 + 590.126*C5^2 - 161101.8*C5 + 18323860</f>
        <v>108688.78865705431</v>
      </c>
    </row>
    <row r="6" spans="1:19" s="9" customFormat="1" ht="15.75">
      <c r="B6" s="9" t="s">
        <v>3</v>
      </c>
      <c r="C6" s="9">
        <f>IF(Estimator!C6=Estimator!O1,Estimator!D6*1.8+32,Estimator!D6)</f>
        <v>50</v>
      </c>
      <c r="D6" s="9">
        <v>14.7</v>
      </c>
      <c r="F6" s="3">
        <f>-31.76958886+0.997066497*C6+0.00001087*C6^2</f>
        <v>18.110910990000001</v>
      </c>
      <c r="G6" s="3">
        <f>-0.06787502848+0.002201824619*C6-0.000002665154152*C6^2+0.000000004390426*C6^3-0.000000000004355*C6^4</f>
        <v>3.6074901589999993E-2</v>
      </c>
      <c r="M6" s="10" t="s">
        <v>25</v>
      </c>
      <c r="N6" s="10">
        <f>IF(C5&lt;P2,O6,IF(C5&lt;Q2,P6,Q6))</f>
        <v>0.55681476850895395</v>
      </c>
      <c r="O6">
        <f xml:space="preserve"> -2.054952E-18*C5^6 + 5.502578E-15*C5^5 - 0.000000000005823224*C5^4 + 0.000000004213932*C5^3 - 0.000002567228*C5^2 + 0.002191037*C5 - 0.0675014</f>
        <v>0.556701070610924</v>
      </c>
      <c r="P6">
        <f xml:space="preserve"> 3.168125E-16*C5^6 - 0.000000000000891254*C5^5 + 0.000000001036796*C5^4 - 0.0000006365638*C5^3 + 0.0002168133*C5^2 - 0.0374574*C5 + 2.886536</f>
        <v>0.55681476850895395</v>
      </c>
      <c r="Q6">
        <f xml:space="preserve"> 0.0000000007644241*C5^6 - 0.00000313095*C5^5 + 0.005342926*C5^4 - 4.86243*C5^3 + 2488.986*C5^2 - 679458.1*C5 + 77279430</f>
        <v>458277.89368802309</v>
      </c>
    </row>
    <row r="9" spans="1:19">
      <c r="O9" s="16"/>
      <c r="P9" s="16"/>
      <c r="Q9" s="16"/>
      <c r="R9" s="16"/>
      <c r="S9" s="16"/>
    </row>
    <row r="10" spans="1:19">
      <c r="O10" s="16"/>
      <c r="P10" s="16"/>
      <c r="Q10" s="16"/>
      <c r="R10" s="16"/>
      <c r="S10" s="16"/>
    </row>
  </sheetData>
  <sheetProtection sheet="1" objects="1" scenarios="1"/>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3:K523"/>
  <sheetViews>
    <sheetView workbookViewId="0">
      <selection activeCell="E4" sqref="E4"/>
    </sheetView>
  </sheetViews>
  <sheetFormatPr defaultRowHeight="12.75"/>
  <sheetData>
    <row r="3" spans="2:6">
      <c r="B3" s="20" t="s">
        <v>48</v>
      </c>
      <c r="C3">
        <f>'Property fit'!C5</f>
        <v>392</v>
      </c>
      <c r="D3">
        <f>(C3-32)/1.8</f>
        <v>200</v>
      </c>
      <c r="E3" s="48">
        <f xml:space="preserve"> 0.0000000550046*D3^3 - 0.0000407813*D3^2 + 0.0101746*D3 - 0.413853</f>
        <v>0.42985179999999978</v>
      </c>
    </row>
    <row r="4" spans="2:6">
      <c r="B4" s="20" t="s">
        <v>85</v>
      </c>
      <c r="C4">
        <f>'Property fit'!C5</f>
        <v>392</v>
      </c>
      <c r="D4">
        <f>(C4-32)/1.8</f>
        <v>200</v>
      </c>
      <c r="E4" s="20">
        <f xml:space="preserve"> -0.0000000000866018*D4^4 + 0.000000179053*D4^3 - 0.000105902*D4^2 + 0.0248737*D4 - 1.66615</f>
        <v>0.36637111999999927</v>
      </c>
      <c r="F4" s="48"/>
    </row>
    <row r="20" spans="1:11">
      <c r="B20" s="20" t="s">
        <v>50</v>
      </c>
      <c r="C20" s="20" t="s">
        <v>51</v>
      </c>
      <c r="D20" t="s">
        <v>49</v>
      </c>
      <c r="E20" s="20" t="s">
        <v>76</v>
      </c>
      <c r="F20" s="20" t="s">
        <v>77</v>
      </c>
      <c r="G20" s="20" t="s">
        <v>75</v>
      </c>
      <c r="H20" s="20" t="s">
        <v>115</v>
      </c>
      <c r="I20" s="20" t="s">
        <v>116</v>
      </c>
      <c r="J20" s="20" t="s">
        <v>74</v>
      </c>
      <c r="K20" s="20" t="s">
        <v>83</v>
      </c>
    </row>
    <row r="21" spans="1:11">
      <c r="A21" s="21">
        <v>0.2</v>
      </c>
      <c r="B21">
        <v>75</v>
      </c>
      <c r="C21">
        <f>B21*1.8+32</f>
        <v>167</v>
      </c>
      <c r="D21" s="48">
        <f xml:space="preserve"> 0.0000000550046*B21^3 - 0.0000407813*B21^2 + 0.0101746*B21 - 0.413853</f>
        <v>0.14305225312500003</v>
      </c>
    </row>
    <row r="22" spans="1:11">
      <c r="A22" s="21">
        <v>0.22</v>
      </c>
      <c r="B22">
        <v>100</v>
      </c>
      <c r="C22">
        <f t="shared" ref="C22:C29" si="0">B22*1.8+32</f>
        <v>212</v>
      </c>
      <c r="D22" s="48">
        <f t="shared" ref="D22:D29" si="1" xml:space="preserve"> 0.0000000550046*B22^3 - 0.0000407813*B22^2 + 0.0101746*B22 - 0.413853</f>
        <v>0.25079859999999998</v>
      </c>
    </row>
    <row r="23" spans="1:11">
      <c r="A23" s="21">
        <v>0.28000000000000003</v>
      </c>
      <c r="B23">
        <v>125</v>
      </c>
      <c r="C23">
        <f t="shared" si="0"/>
        <v>257</v>
      </c>
      <c r="D23" s="48">
        <f t="shared" si="1"/>
        <v>0.3281950468749999</v>
      </c>
    </row>
    <row r="24" spans="1:11">
      <c r="A24" s="21">
        <v>0.34</v>
      </c>
      <c r="B24">
        <v>150</v>
      </c>
      <c r="C24">
        <f t="shared" si="0"/>
        <v>302</v>
      </c>
      <c r="D24" s="48">
        <f t="shared" si="1"/>
        <v>0.38039827500000012</v>
      </c>
    </row>
    <row r="25" spans="1:11">
      <c r="A25" s="21">
        <v>0.37</v>
      </c>
      <c r="B25">
        <v>175</v>
      </c>
      <c r="C25">
        <f t="shared" si="0"/>
        <v>347</v>
      </c>
      <c r="D25" s="48">
        <f t="shared" si="1"/>
        <v>0.41256496562500011</v>
      </c>
    </row>
    <row r="26" spans="1:11">
      <c r="A26" s="21">
        <v>0.4</v>
      </c>
      <c r="B26">
        <v>200</v>
      </c>
      <c r="C26">
        <f t="shared" si="0"/>
        <v>392</v>
      </c>
      <c r="D26" s="48">
        <f t="shared" si="1"/>
        <v>0.42985179999999978</v>
      </c>
    </row>
    <row r="27" spans="1:11">
      <c r="A27" s="21">
        <v>0.42</v>
      </c>
      <c r="B27">
        <v>225</v>
      </c>
      <c r="C27">
        <f t="shared" si="0"/>
        <v>437</v>
      </c>
      <c r="D27" s="48">
        <f t="shared" si="1"/>
        <v>0.43741545937499993</v>
      </c>
    </row>
    <row r="28" spans="1:11">
      <c r="A28" s="21">
        <v>0.44</v>
      </c>
      <c r="B28">
        <v>250</v>
      </c>
      <c r="C28">
        <f t="shared" si="0"/>
        <v>482</v>
      </c>
      <c r="D28" s="48">
        <f t="shared" si="1"/>
        <v>0.440412625</v>
      </c>
    </row>
    <row r="29" spans="1:11">
      <c r="A29" s="21">
        <v>0.45</v>
      </c>
      <c r="B29">
        <v>275</v>
      </c>
      <c r="C29">
        <f t="shared" si="0"/>
        <v>527</v>
      </c>
      <c r="D29" s="48">
        <f t="shared" si="1"/>
        <v>0.44399997812500014</v>
      </c>
    </row>
    <row r="32" spans="1:11">
      <c r="B32">
        <v>106.2</v>
      </c>
      <c r="C32">
        <f t="shared" ref="C32:C52" si="2">B32*1.8+32</f>
        <v>223.16</v>
      </c>
      <c r="J32">
        <v>0.20300000000000001</v>
      </c>
    </row>
    <row r="33" spans="2:10">
      <c r="B33">
        <v>108</v>
      </c>
      <c r="C33">
        <f t="shared" si="2"/>
        <v>226.4</v>
      </c>
      <c r="J33">
        <v>0.223</v>
      </c>
    </row>
    <row r="34" spans="2:10">
      <c r="B34">
        <v>107.1</v>
      </c>
      <c r="C34">
        <f t="shared" si="2"/>
        <v>224.78</v>
      </c>
      <c r="J34">
        <v>0.219</v>
      </c>
    </row>
    <row r="35" spans="2:10">
      <c r="B35">
        <v>108.3</v>
      </c>
      <c r="C35">
        <f t="shared" si="2"/>
        <v>226.94</v>
      </c>
      <c r="J35">
        <v>0.19500000000000001</v>
      </c>
    </row>
    <row r="36" spans="2:10">
      <c r="B36">
        <v>108.4</v>
      </c>
      <c r="C36">
        <f t="shared" si="2"/>
        <v>227.12</v>
      </c>
      <c r="J36">
        <v>0.217</v>
      </c>
    </row>
    <row r="37" spans="2:10">
      <c r="B37">
        <v>108.3</v>
      </c>
      <c r="C37">
        <f t="shared" si="2"/>
        <v>226.94</v>
      </c>
      <c r="J37">
        <v>0.19</v>
      </c>
    </row>
    <row r="38" spans="2:10">
      <c r="B38">
        <v>107</v>
      </c>
      <c r="C38">
        <f t="shared" si="2"/>
        <v>224.6</v>
      </c>
      <c r="J38">
        <v>0.20300000000000001</v>
      </c>
    </row>
    <row r="39" spans="2:10">
      <c r="B39">
        <v>108.9</v>
      </c>
      <c r="C39">
        <f t="shared" si="2"/>
        <v>228.02</v>
      </c>
      <c r="J39">
        <v>0.20100000000000001</v>
      </c>
    </row>
    <row r="40" spans="2:10">
      <c r="B40">
        <v>109</v>
      </c>
      <c r="C40">
        <f t="shared" si="2"/>
        <v>228.20000000000002</v>
      </c>
      <c r="J40">
        <v>0.21099999999999999</v>
      </c>
    </row>
    <row r="41" spans="2:10">
      <c r="B41">
        <v>108.8</v>
      </c>
      <c r="C41">
        <f t="shared" si="2"/>
        <v>227.84</v>
      </c>
      <c r="J41">
        <v>0.19600000000000001</v>
      </c>
    </row>
    <row r="42" spans="2:10">
      <c r="B42">
        <v>108.8</v>
      </c>
      <c r="C42">
        <f t="shared" si="2"/>
        <v>227.84</v>
      </c>
      <c r="J42">
        <v>0.19400000000000001</v>
      </c>
    </row>
    <row r="43" spans="2:10">
      <c r="B43">
        <v>108.9</v>
      </c>
      <c r="C43">
        <f t="shared" si="2"/>
        <v>228.02</v>
      </c>
      <c r="J43">
        <v>0.20899999999999999</v>
      </c>
    </row>
    <row r="44" spans="2:10">
      <c r="B44">
        <v>109</v>
      </c>
      <c r="C44">
        <f t="shared" si="2"/>
        <v>228.20000000000002</v>
      </c>
      <c r="J44">
        <v>0.20699999999999999</v>
      </c>
    </row>
    <row r="45" spans="2:10">
      <c r="B45">
        <v>109.2</v>
      </c>
      <c r="C45">
        <f t="shared" si="2"/>
        <v>228.56</v>
      </c>
      <c r="J45">
        <v>0.17</v>
      </c>
    </row>
    <row r="46" spans="2:10">
      <c r="B46">
        <v>109.3</v>
      </c>
      <c r="C46">
        <f t="shared" si="2"/>
        <v>228.74</v>
      </c>
      <c r="J46">
        <v>0.19800000000000001</v>
      </c>
    </row>
    <row r="47" spans="2:10">
      <c r="B47">
        <v>109.1</v>
      </c>
      <c r="C47">
        <f t="shared" si="2"/>
        <v>228.38</v>
      </c>
      <c r="J47">
        <v>0.17899999999999999</v>
      </c>
    </row>
    <row r="48" spans="2:10">
      <c r="B48">
        <v>109.2</v>
      </c>
      <c r="C48">
        <f t="shared" si="2"/>
        <v>228.56</v>
      </c>
      <c r="J48">
        <v>0.187</v>
      </c>
    </row>
    <row r="49" spans="1:11">
      <c r="B49">
        <v>107.5</v>
      </c>
      <c r="C49">
        <f t="shared" si="2"/>
        <v>225.5</v>
      </c>
      <c r="J49">
        <v>0.216</v>
      </c>
    </row>
    <row r="50" spans="1:11">
      <c r="B50">
        <v>140</v>
      </c>
      <c r="C50">
        <f t="shared" si="2"/>
        <v>284</v>
      </c>
      <c r="J50">
        <v>0.216</v>
      </c>
    </row>
    <row r="51" spans="1:11">
      <c r="B51">
        <v>165</v>
      </c>
      <c r="C51">
        <f t="shared" si="2"/>
        <v>329</v>
      </c>
      <c r="J51">
        <v>0.434</v>
      </c>
    </row>
    <row r="52" spans="1:11">
      <c r="B52">
        <v>122</v>
      </c>
      <c r="C52">
        <f t="shared" si="2"/>
        <v>251.6</v>
      </c>
      <c r="J52">
        <v>0.23100000000000001</v>
      </c>
    </row>
    <row r="54" spans="1:11">
      <c r="B54">
        <f>(C54-32)/1.8</f>
        <v>137.77777777777777</v>
      </c>
      <c r="C54">
        <v>280</v>
      </c>
      <c r="K54">
        <v>0.36499999999999999</v>
      </c>
    </row>
    <row r="56" spans="1:11">
      <c r="A56">
        <v>0.21651981848096213</v>
      </c>
      <c r="B56">
        <v>145.9278540865734</v>
      </c>
      <c r="C56">
        <f t="shared" ref="C56:C75" si="3">B56*1.8+32</f>
        <v>294.67013735583214</v>
      </c>
      <c r="G56">
        <v>0.21651981848096213</v>
      </c>
    </row>
    <row r="57" spans="1:11">
      <c r="A57">
        <v>0.24079109353037609</v>
      </c>
      <c r="B57">
        <v>147.94453764921653</v>
      </c>
      <c r="C57">
        <f t="shared" si="3"/>
        <v>298.30016776858974</v>
      </c>
      <c r="G57">
        <v>0.24079109353037609</v>
      </c>
    </row>
    <row r="58" spans="1:11">
      <c r="A58">
        <v>0.30089628343927283</v>
      </c>
      <c r="B58">
        <v>170.26621108815763</v>
      </c>
      <c r="C58">
        <f t="shared" si="3"/>
        <v>338.47917995868374</v>
      </c>
      <c r="G58">
        <v>0.30089628343927283</v>
      </c>
    </row>
    <row r="59" spans="1:11">
      <c r="A59">
        <v>0.32777066859037329</v>
      </c>
      <c r="B59">
        <v>172.61152776737921</v>
      </c>
      <c r="C59">
        <f t="shared" si="3"/>
        <v>342.70074998128257</v>
      </c>
      <c r="G59">
        <v>0.32777066859037329</v>
      </c>
    </row>
    <row r="60" spans="1:11">
      <c r="A60">
        <v>0.35053611599857132</v>
      </c>
      <c r="B60">
        <v>194.65562312263046</v>
      </c>
      <c r="C60">
        <f t="shared" si="3"/>
        <v>382.38012162073483</v>
      </c>
      <c r="G60">
        <v>0.35053611599857132</v>
      </c>
    </row>
    <row r="61" spans="1:11">
      <c r="A61">
        <v>0.37764624336534841</v>
      </c>
      <c r="B61">
        <v>197.30489739180788</v>
      </c>
      <c r="C61">
        <f t="shared" si="3"/>
        <v>387.14881530525417</v>
      </c>
      <c r="G61">
        <v>0.37764624336534841</v>
      </c>
    </row>
    <row r="62" spans="1:11">
      <c r="A62">
        <v>0.36914426601018663</v>
      </c>
      <c r="B62">
        <v>219.11753660245319</v>
      </c>
      <c r="C62">
        <f t="shared" si="3"/>
        <v>426.41156588441572</v>
      </c>
      <c r="G62">
        <v>0.36914426601018663</v>
      </c>
    </row>
    <row r="63" spans="1:11">
      <c r="A63">
        <v>0.39699656973153774</v>
      </c>
      <c r="B63">
        <v>222.03578695314616</v>
      </c>
      <c r="C63">
        <f t="shared" si="3"/>
        <v>431.66441651566311</v>
      </c>
      <c r="G63">
        <v>0.39699656973153774</v>
      </c>
    </row>
    <row r="64" spans="1:11">
      <c r="A64">
        <v>0.37559507228077338</v>
      </c>
      <c r="B64">
        <v>243.68966474259145</v>
      </c>
      <c r="C64">
        <f t="shared" si="3"/>
        <v>470.64139653666462</v>
      </c>
      <c r="G64">
        <v>0.37559507228077338</v>
      </c>
    </row>
    <row r="65" spans="1:7">
      <c r="A65">
        <v>0.40430492443194621</v>
      </c>
      <c r="B65">
        <v>246.82381093567327</v>
      </c>
      <c r="C65">
        <f t="shared" si="3"/>
        <v>476.28285968421187</v>
      </c>
      <c r="G65">
        <v>0.40430492443194621</v>
      </c>
    </row>
    <row r="66" spans="1:7">
      <c r="A66">
        <v>0.38003869240840421</v>
      </c>
      <c r="B66">
        <v>268.43595126826887</v>
      </c>
      <c r="C66">
        <f t="shared" si="3"/>
        <v>515.18471228288399</v>
      </c>
      <c r="G66">
        <v>0.38003869240840421</v>
      </c>
    </row>
    <row r="67" spans="1:7">
      <c r="A67">
        <v>0.40921685993659446</v>
      </c>
      <c r="B67">
        <v>271.70189682508055</v>
      </c>
      <c r="C67">
        <f t="shared" si="3"/>
        <v>521.06341428514497</v>
      </c>
      <c r="G67">
        <v>0.40921685993659446</v>
      </c>
    </row>
    <row r="68" spans="1:7">
      <c r="A68">
        <v>0.38345400466816615</v>
      </c>
      <c r="B68">
        <v>293.44426617824968</v>
      </c>
      <c r="C68">
        <f t="shared" si="3"/>
        <v>560.1996791208494</v>
      </c>
      <c r="G68">
        <v>0.38345400466816615</v>
      </c>
    </row>
    <row r="69" spans="1:7">
      <c r="A69">
        <v>0.41294421111555218</v>
      </c>
      <c r="B69">
        <v>296.71423711005343</v>
      </c>
      <c r="C69">
        <f t="shared" si="3"/>
        <v>566.0856267980962</v>
      </c>
      <c r="G69">
        <v>0.41294421111555218</v>
      </c>
    </row>
    <row r="70" spans="1:7">
      <c r="A70">
        <v>0.39121027784417761</v>
      </c>
      <c r="B70">
        <v>318.79276396867681</v>
      </c>
      <c r="C70">
        <f t="shared" si="3"/>
        <v>605.82697514361826</v>
      </c>
      <c r="G70">
        <v>0.39121027784417761</v>
      </c>
    </row>
    <row r="71" spans="1:7">
      <c r="A71">
        <v>0.42148801248173928</v>
      </c>
      <c r="B71">
        <v>321.89802939916467</v>
      </c>
      <c r="C71">
        <f t="shared" si="3"/>
        <v>611.41645291849647</v>
      </c>
      <c r="G71">
        <v>0.42148801248173928</v>
      </c>
    </row>
    <row r="72" spans="1:7">
      <c r="A72">
        <v>9.6267364173023576E-2</v>
      </c>
      <c r="B72">
        <v>121.62585625956733</v>
      </c>
      <c r="C72">
        <f t="shared" si="3"/>
        <v>250.92654126722118</v>
      </c>
      <c r="G72">
        <v>9.6267364173023576E-2</v>
      </c>
    </row>
    <row r="73" spans="1:7">
      <c r="A73">
        <v>0.1146372861107279</v>
      </c>
      <c r="B73">
        <v>123.29635148603958</v>
      </c>
      <c r="C73">
        <f t="shared" si="3"/>
        <v>253.93343267487126</v>
      </c>
      <c r="G73">
        <v>0.1146372861107279</v>
      </c>
    </row>
    <row r="74" spans="1:7">
      <c r="A74">
        <v>2.4735095555170721E-2</v>
      </c>
      <c r="B74">
        <v>111.91235372461557</v>
      </c>
      <c r="C74">
        <f t="shared" si="3"/>
        <v>233.44223670430804</v>
      </c>
      <c r="G74">
        <v>2.4735095555170721E-2</v>
      </c>
    </row>
    <row r="75" spans="1:7">
      <c r="A75">
        <v>4.1584553639447949E-2</v>
      </c>
      <c r="B75">
        <v>113.44085972950931</v>
      </c>
      <c r="C75">
        <f t="shared" si="3"/>
        <v>236.19354751311675</v>
      </c>
      <c r="G75">
        <v>4.1584553639447949E-2</v>
      </c>
    </row>
    <row r="76" spans="1:7">
      <c r="A76">
        <v>0.1693610607053242</v>
      </c>
      <c r="B76">
        <v>136.20342755501622</v>
      </c>
      <c r="C76">
        <v>0.1693610607053242</v>
      </c>
      <c r="G76">
        <v>0.1693610607053242</v>
      </c>
    </row>
    <row r="77" spans="1:7">
      <c r="A77">
        <v>0.19228583245223421</v>
      </c>
      <c r="B77">
        <v>138.08338477996182</v>
      </c>
      <c r="C77">
        <v>0.19228583245223421</v>
      </c>
      <c r="G77">
        <v>0.19228583245223421</v>
      </c>
    </row>
    <row r="79" spans="1:7">
      <c r="A79" s="25" t="s">
        <v>59</v>
      </c>
      <c r="B79">
        <v>75</v>
      </c>
      <c r="C79">
        <f>B79*1.8+32</f>
        <v>167</v>
      </c>
      <c r="E79" s="24">
        <v>0.22264067675268281</v>
      </c>
    </row>
    <row r="80" spans="1:7">
      <c r="A80" s="25" t="s">
        <v>59</v>
      </c>
      <c r="B80">
        <v>75</v>
      </c>
      <c r="C80">
        <f>B80*1.8+32</f>
        <v>167</v>
      </c>
      <c r="E80" s="24">
        <v>0.21157373068965027</v>
      </c>
    </row>
    <row r="81" spans="1:5">
      <c r="A81" s="25" t="s">
        <v>59</v>
      </c>
      <c r="B81">
        <v>75</v>
      </c>
      <c r="C81">
        <f>B81*1.8+32</f>
        <v>167</v>
      </c>
      <c r="E81" s="24">
        <v>0.20727047644881424</v>
      </c>
    </row>
    <row r="82" spans="1:5">
      <c r="A82" s="25" t="s">
        <v>53</v>
      </c>
      <c r="B82">
        <v>75</v>
      </c>
      <c r="C82">
        <f t="shared" ref="C82:C96" si="4">B82*1.8+32</f>
        <v>167</v>
      </c>
      <c r="E82" s="24">
        <v>0.10645294205982932</v>
      </c>
    </row>
    <row r="83" spans="1:5">
      <c r="A83" s="25" t="s">
        <v>53</v>
      </c>
      <c r="B83">
        <v>75</v>
      </c>
      <c r="C83">
        <f t="shared" si="4"/>
        <v>167</v>
      </c>
      <c r="E83" s="24">
        <v>0.10606909252683047</v>
      </c>
    </row>
    <row r="84" spans="1:5">
      <c r="A84" s="25" t="s">
        <v>53</v>
      </c>
      <c r="B84">
        <v>75</v>
      </c>
      <c r="C84">
        <f t="shared" si="4"/>
        <v>167</v>
      </c>
      <c r="E84" s="24">
        <v>9.6475063975326722E-2</v>
      </c>
    </row>
    <row r="85" spans="1:5">
      <c r="A85" s="25" t="s">
        <v>55</v>
      </c>
      <c r="B85">
        <v>75</v>
      </c>
      <c r="C85">
        <f t="shared" si="4"/>
        <v>167</v>
      </c>
      <c r="E85" s="24">
        <v>0.15770068717951669</v>
      </c>
    </row>
    <row r="86" spans="1:5">
      <c r="A86" s="25" t="s">
        <v>55</v>
      </c>
      <c r="B86">
        <v>75</v>
      </c>
      <c r="C86">
        <f t="shared" si="4"/>
        <v>167</v>
      </c>
      <c r="E86" s="24">
        <v>0.1546600804358455</v>
      </c>
    </row>
    <row r="87" spans="1:5">
      <c r="A87" s="25" t="s">
        <v>55</v>
      </c>
      <c r="B87">
        <v>75</v>
      </c>
      <c r="C87">
        <f t="shared" si="4"/>
        <v>167</v>
      </c>
      <c r="E87" s="24">
        <v>0.15306842564244846</v>
      </c>
    </row>
    <row r="88" spans="1:5">
      <c r="A88" s="25" t="s">
        <v>56</v>
      </c>
      <c r="B88">
        <v>75</v>
      </c>
      <c r="C88">
        <f t="shared" si="4"/>
        <v>167</v>
      </c>
      <c r="E88" s="24">
        <v>6.2183115552511145E-2</v>
      </c>
    </row>
    <row r="89" spans="1:5">
      <c r="A89" s="25" t="s">
        <v>56</v>
      </c>
      <c r="B89">
        <v>75</v>
      </c>
      <c r="C89">
        <f t="shared" si="4"/>
        <v>167</v>
      </c>
      <c r="E89" s="24">
        <v>5.8050273980342716E-2</v>
      </c>
    </row>
    <row r="90" spans="1:5">
      <c r="A90" s="25" t="s">
        <v>56</v>
      </c>
      <c r="B90">
        <v>75</v>
      </c>
      <c r="C90">
        <f t="shared" si="4"/>
        <v>167</v>
      </c>
      <c r="E90" s="24">
        <v>4.7292826140164404E-2</v>
      </c>
    </row>
    <row r="91" spans="1:5">
      <c r="A91" s="25" t="s">
        <v>57</v>
      </c>
      <c r="B91">
        <v>75</v>
      </c>
      <c r="C91">
        <f t="shared" si="4"/>
        <v>167</v>
      </c>
      <c r="E91" s="24">
        <v>0.10163104323462759</v>
      </c>
    </row>
    <row r="92" spans="1:5">
      <c r="A92" s="25" t="s">
        <v>57</v>
      </c>
      <c r="B92">
        <v>75</v>
      </c>
      <c r="C92">
        <f t="shared" si="4"/>
        <v>167</v>
      </c>
      <c r="E92" s="24">
        <v>9.8547073471641808E-2</v>
      </c>
    </row>
    <row r="93" spans="1:5">
      <c r="A93" s="25" t="s">
        <v>57</v>
      </c>
      <c r="B93">
        <v>75</v>
      </c>
      <c r="C93">
        <f t="shared" si="4"/>
        <v>167</v>
      </c>
      <c r="E93" s="24">
        <v>9.265953135857255E-2</v>
      </c>
    </row>
    <row r="94" spans="1:5">
      <c r="A94" s="25" t="s">
        <v>58</v>
      </c>
      <c r="B94">
        <v>75</v>
      </c>
      <c r="C94">
        <f t="shared" si="4"/>
        <v>167</v>
      </c>
      <c r="E94" s="24">
        <v>0.18767088058710801</v>
      </c>
    </row>
    <row r="95" spans="1:5">
      <c r="A95" s="25" t="s">
        <v>58</v>
      </c>
      <c r="B95">
        <v>75</v>
      </c>
      <c r="C95">
        <f t="shared" si="4"/>
        <v>167</v>
      </c>
      <c r="E95" s="24">
        <v>0.18090982764799293</v>
      </c>
    </row>
    <row r="96" spans="1:5">
      <c r="A96" s="25" t="s">
        <v>58</v>
      </c>
      <c r="B96">
        <v>75</v>
      </c>
      <c r="C96">
        <f t="shared" si="4"/>
        <v>167</v>
      </c>
      <c r="E96" s="24">
        <v>0.17815029963369627</v>
      </c>
    </row>
    <row r="98" spans="1:5">
      <c r="A98" s="25" t="s">
        <v>59</v>
      </c>
      <c r="B98">
        <v>100</v>
      </c>
      <c r="C98">
        <f>B98*1.8+32</f>
        <v>212</v>
      </c>
      <c r="E98" s="23">
        <v>0.30254046986594146</v>
      </c>
    </row>
    <row r="99" spans="1:5">
      <c r="A99" s="25" t="s">
        <v>59</v>
      </c>
      <c r="B99">
        <v>100</v>
      </c>
      <c r="C99">
        <f>B99*1.8+32</f>
        <v>212</v>
      </c>
      <c r="E99" s="23">
        <v>0.30240016605229569</v>
      </c>
    </row>
    <row r="100" spans="1:5">
      <c r="A100" s="25" t="s">
        <v>59</v>
      </c>
      <c r="B100">
        <v>100</v>
      </c>
      <c r="C100">
        <f>B100*1.8+32</f>
        <v>212</v>
      </c>
      <c r="E100" s="23">
        <v>0.29981245797129041</v>
      </c>
    </row>
    <row r="101" spans="1:5">
      <c r="A101" s="26" t="s">
        <v>60</v>
      </c>
      <c r="B101">
        <v>100</v>
      </c>
      <c r="C101">
        <f t="shared" ref="C101:C166" si="5">B101*1.8+32</f>
        <v>212</v>
      </c>
      <c r="E101" s="23">
        <v>0.18412600712712873</v>
      </c>
    </row>
    <row r="102" spans="1:5">
      <c r="A102" s="27" t="s">
        <v>60</v>
      </c>
      <c r="B102">
        <v>100</v>
      </c>
      <c r="C102">
        <f t="shared" si="5"/>
        <v>212</v>
      </c>
      <c r="E102" s="23">
        <v>0.1793218030709805</v>
      </c>
    </row>
    <row r="103" spans="1:5">
      <c r="A103" s="28" t="s">
        <v>60</v>
      </c>
      <c r="B103">
        <v>100</v>
      </c>
      <c r="C103">
        <f t="shared" si="5"/>
        <v>212</v>
      </c>
      <c r="E103" s="23">
        <v>0.17805869856106282</v>
      </c>
    </row>
    <row r="104" spans="1:5">
      <c r="A104" s="29" t="s">
        <v>61</v>
      </c>
      <c r="B104">
        <v>100</v>
      </c>
      <c r="C104">
        <f t="shared" si="5"/>
        <v>212</v>
      </c>
      <c r="E104" s="23">
        <v>0.24153604064167433</v>
      </c>
    </row>
    <row r="105" spans="1:5">
      <c r="A105" s="30" t="s">
        <v>61</v>
      </c>
      <c r="B105">
        <v>100</v>
      </c>
      <c r="C105">
        <f t="shared" si="5"/>
        <v>212</v>
      </c>
      <c r="E105" s="23">
        <v>0.24152175368168313</v>
      </c>
    </row>
    <row r="106" spans="1:5">
      <c r="A106" s="30" t="s">
        <v>61</v>
      </c>
      <c r="B106">
        <v>100</v>
      </c>
      <c r="C106">
        <f t="shared" si="5"/>
        <v>212</v>
      </c>
      <c r="E106" s="23">
        <v>0.23961379410924372</v>
      </c>
    </row>
    <row r="107" spans="1:5">
      <c r="A107" s="31" t="s">
        <v>54</v>
      </c>
      <c r="B107">
        <v>100</v>
      </c>
      <c r="C107">
        <f t="shared" si="5"/>
        <v>212</v>
      </c>
      <c r="E107" s="23">
        <v>0.15617108987320455</v>
      </c>
    </row>
    <row r="108" spans="1:5">
      <c r="A108" s="28" t="s">
        <v>54</v>
      </c>
      <c r="B108">
        <v>100</v>
      </c>
      <c r="C108">
        <f t="shared" si="5"/>
        <v>212</v>
      </c>
      <c r="E108" s="23">
        <v>0.15571578854316842</v>
      </c>
    </row>
    <row r="109" spans="1:5">
      <c r="A109" s="28" t="s">
        <v>54</v>
      </c>
      <c r="B109">
        <v>100</v>
      </c>
      <c r="C109">
        <f t="shared" si="5"/>
        <v>212</v>
      </c>
      <c r="E109" s="23">
        <v>0.14612449368095681</v>
      </c>
    </row>
    <row r="110" spans="1:5">
      <c r="A110" s="30" t="s">
        <v>53</v>
      </c>
      <c r="B110">
        <v>100</v>
      </c>
      <c r="C110">
        <f t="shared" si="5"/>
        <v>212</v>
      </c>
      <c r="E110" s="23">
        <v>0.21729963909267136</v>
      </c>
    </row>
    <row r="111" spans="1:5">
      <c r="A111" s="31" t="s">
        <v>53</v>
      </c>
      <c r="B111">
        <v>100</v>
      </c>
      <c r="C111">
        <f t="shared" si="5"/>
        <v>212</v>
      </c>
      <c r="E111" s="23">
        <v>0.18786546339528892</v>
      </c>
    </row>
    <row r="112" spans="1:5">
      <c r="A112" s="28" t="s">
        <v>53</v>
      </c>
      <c r="B112">
        <v>100</v>
      </c>
      <c r="C112">
        <f t="shared" si="5"/>
        <v>212</v>
      </c>
      <c r="E112" s="23">
        <v>0.18633722505978306</v>
      </c>
    </row>
    <row r="113" spans="1:5">
      <c r="A113" s="28" t="s">
        <v>62</v>
      </c>
      <c r="B113">
        <v>100</v>
      </c>
      <c r="C113">
        <f t="shared" si="5"/>
        <v>212</v>
      </c>
      <c r="E113" s="23">
        <v>0.11771249444770894</v>
      </c>
    </row>
    <row r="114" spans="1:5">
      <c r="A114" s="31" t="s">
        <v>62</v>
      </c>
      <c r="B114">
        <v>100</v>
      </c>
      <c r="C114">
        <f t="shared" si="5"/>
        <v>212</v>
      </c>
      <c r="E114" s="23">
        <v>0.11699601480270609</v>
      </c>
    </row>
    <row r="115" spans="1:5">
      <c r="A115" s="32" t="s">
        <v>62</v>
      </c>
      <c r="B115">
        <v>100</v>
      </c>
      <c r="C115">
        <f t="shared" si="5"/>
        <v>212</v>
      </c>
      <c r="E115" s="23">
        <v>0.11419554316161273</v>
      </c>
    </row>
    <row r="117" spans="1:5">
      <c r="A117" s="33" t="s">
        <v>61</v>
      </c>
      <c r="B117">
        <v>125</v>
      </c>
      <c r="C117">
        <f t="shared" si="5"/>
        <v>257</v>
      </c>
      <c r="E117" s="23">
        <v>0.36549425044885725</v>
      </c>
    </row>
    <row r="118" spans="1:5">
      <c r="A118" s="34" t="s">
        <v>61</v>
      </c>
      <c r="B118">
        <v>125</v>
      </c>
      <c r="C118">
        <f t="shared" si="5"/>
        <v>257</v>
      </c>
      <c r="E118" s="23">
        <v>0.36541854763363446</v>
      </c>
    </row>
    <row r="119" spans="1:5">
      <c r="A119" s="34" t="s">
        <v>61</v>
      </c>
      <c r="B119">
        <v>125</v>
      </c>
      <c r="C119">
        <f t="shared" si="5"/>
        <v>257</v>
      </c>
      <c r="E119" s="23">
        <v>0.36262691972931738</v>
      </c>
    </row>
    <row r="120" spans="1:5">
      <c r="A120" s="33" t="s">
        <v>60</v>
      </c>
      <c r="B120">
        <v>125</v>
      </c>
      <c r="C120">
        <f t="shared" si="5"/>
        <v>257</v>
      </c>
      <c r="E120" s="23">
        <v>0.31640230354493842</v>
      </c>
    </row>
    <row r="121" spans="1:5">
      <c r="A121" s="34" t="s">
        <v>60</v>
      </c>
      <c r="B121">
        <v>125</v>
      </c>
      <c r="C121">
        <f t="shared" si="5"/>
        <v>257</v>
      </c>
      <c r="E121" s="23">
        <v>0.31572101612721343</v>
      </c>
    </row>
    <row r="122" spans="1:5">
      <c r="A122" s="34" t="s">
        <v>60</v>
      </c>
      <c r="B122">
        <v>125</v>
      </c>
      <c r="C122">
        <f t="shared" si="5"/>
        <v>257</v>
      </c>
      <c r="E122" s="23">
        <v>0.31522672238077748</v>
      </c>
    </row>
    <row r="123" spans="1:5">
      <c r="A123" s="35" t="s">
        <v>62</v>
      </c>
      <c r="B123">
        <v>125</v>
      </c>
      <c r="C123">
        <f t="shared" si="5"/>
        <v>257</v>
      </c>
      <c r="E123" s="23">
        <v>0.19647666087865837</v>
      </c>
    </row>
    <row r="124" spans="1:5">
      <c r="A124" s="36" t="s">
        <v>62</v>
      </c>
      <c r="B124">
        <v>125</v>
      </c>
      <c r="C124">
        <f t="shared" si="5"/>
        <v>257</v>
      </c>
      <c r="E124" s="23">
        <v>0.18631836523934456</v>
      </c>
    </row>
    <row r="125" spans="1:5">
      <c r="A125" s="37" t="s">
        <v>62</v>
      </c>
      <c r="B125">
        <v>125</v>
      </c>
      <c r="C125">
        <f t="shared" si="5"/>
        <v>257</v>
      </c>
      <c r="E125" s="23">
        <v>0.1860700588965139</v>
      </c>
    </row>
    <row r="126" spans="1:5">
      <c r="A126" s="33" t="s">
        <v>54</v>
      </c>
      <c r="B126">
        <v>125</v>
      </c>
      <c r="C126">
        <f t="shared" si="5"/>
        <v>257</v>
      </c>
      <c r="E126" s="23">
        <v>0.29035143416247294</v>
      </c>
    </row>
    <row r="127" spans="1:5">
      <c r="A127" s="34" t="s">
        <v>54</v>
      </c>
      <c r="B127">
        <v>125</v>
      </c>
      <c r="C127">
        <f t="shared" si="5"/>
        <v>257</v>
      </c>
      <c r="E127" s="23">
        <v>0.29028685380494901</v>
      </c>
    </row>
    <row r="128" spans="1:5">
      <c r="A128" s="34" t="s">
        <v>54</v>
      </c>
      <c r="B128">
        <v>125</v>
      </c>
      <c r="C128">
        <f t="shared" si="5"/>
        <v>257</v>
      </c>
      <c r="E128" s="23">
        <v>0.28786389275399071</v>
      </c>
    </row>
    <row r="129" spans="1:5">
      <c r="A129" s="33" t="s">
        <v>53</v>
      </c>
      <c r="B129">
        <v>125</v>
      </c>
      <c r="C129">
        <f t="shared" si="5"/>
        <v>257</v>
      </c>
      <c r="E129" s="23">
        <v>0.33733341563015673</v>
      </c>
    </row>
    <row r="130" spans="1:5">
      <c r="A130" s="34" t="s">
        <v>53</v>
      </c>
      <c r="B130">
        <v>125</v>
      </c>
      <c r="C130">
        <f t="shared" si="5"/>
        <v>257</v>
      </c>
      <c r="E130" s="23">
        <v>0.33651845828956578</v>
      </c>
    </row>
    <row r="131" spans="1:5">
      <c r="A131" s="34" t="s">
        <v>53</v>
      </c>
      <c r="B131">
        <v>125</v>
      </c>
      <c r="C131">
        <f t="shared" si="5"/>
        <v>257</v>
      </c>
      <c r="E131" s="23">
        <v>0.3363680608658573</v>
      </c>
    </row>
    <row r="132" spans="1:5">
      <c r="A132" s="35" t="s">
        <v>63</v>
      </c>
      <c r="B132">
        <v>125</v>
      </c>
      <c r="C132">
        <f t="shared" si="5"/>
        <v>257</v>
      </c>
      <c r="E132" s="23">
        <v>0.16320603241996071</v>
      </c>
    </row>
    <row r="133" spans="1:5">
      <c r="A133" s="37" t="s">
        <v>63</v>
      </c>
      <c r="B133">
        <v>125</v>
      </c>
      <c r="C133">
        <f t="shared" si="5"/>
        <v>257</v>
      </c>
      <c r="E133" s="23">
        <v>0.15833854664322264</v>
      </c>
    </row>
    <row r="134" spans="1:5">
      <c r="A134" s="37" t="s">
        <v>63</v>
      </c>
      <c r="B134">
        <v>125</v>
      </c>
      <c r="C134">
        <f t="shared" si="5"/>
        <v>257</v>
      </c>
      <c r="E134" s="23">
        <v>0.14126137016564436</v>
      </c>
    </row>
    <row r="136" spans="1:5">
      <c r="A136" s="38" t="s">
        <v>59</v>
      </c>
      <c r="B136">
        <v>150</v>
      </c>
      <c r="C136">
        <f t="shared" si="5"/>
        <v>302</v>
      </c>
      <c r="E136" s="24">
        <v>0.4979425636377745</v>
      </c>
    </row>
    <row r="137" spans="1:5">
      <c r="A137" s="38" t="s">
        <v>59</v>
      </c>
      <c r="B137">
        <v>150</v>
      </c>
      <c r="C137">
        <f t="shared" si="5"/>
        <v>302</v>
      </c>
      <c r="E137" s="24">
        <v>0.49778452676445917</v>
      </c>
    </row>
    <row r="138" spans="1:5">
      <c r="A138" s="38" t="s">
        <v>59</v>
      </c>
      <c r="B138">
        <v>150</v>
      </c>
      <c r="C138">
        <f t="shared" si="5"/>
        <v>302</v>
      </c>
      <c r="E138" s="24">
        <v>0.49735610899122085</v>
      </c>
    </row>
    <row r="139" spans="1:5">
      <c r="A139" s="39" t="s">
        <v>61</v>
      </c>
      <c r="B139">
        <v>150</v>
      </c>
      <c r="C139">
        <f t="shared" si="5"/>
        <v>302</v>
      </c>
      <c r="E139" s="24">
        <v>0.45125041402020727</v>
      </c>
    </row>
    <row r="140" spans="1:5">
      <c r="A140" s="38" t="s">
        <v>61</v>
      </c>
      <c r="B140">
        <v>150</v>
      </c>
      <c r="C140">
        <f t="shared" si="5"/>
        <v>302</v>
      </c>
      <c r="E140" s="24">
        <v>0.4510674736612254</v>
      </c>
    </row>
    <row r="141" spans="1:5">
      <c r="A141" s="38" t="s">
        <v>61</v>
      </c>
      <c r="B141">
        <v>150</v>
      </c>
      <c r="C141">
        <f t="shared" si="5"/>
        <v>302</v>
      </c>
      <c r="E141" s="24">
        <v>0.45098851621656944</v>
      </c>
    </row>
    <row r="142" spans="1:5">
      <c r="A142" s="39" t="s">
        <v>60</v>
      </c>
      <c r="B142">
        <v>150</v>
      </c>
      <c r="C142">
        <f t="shared" si="5"/>
        <v>302</v>
      </c>
      <c r="E142" s="24">
        <v>0.40610463593942026</v>
      </c>
    </row>
    <row r="143" spans="1:5">
      <c r="A143" s="38" t="s">
        <v>60</v>
      </c>
      <c r="B143">
        <v>150</v>
      </c>
      <c r="C143">
        <f t="shared" si="5"/>
        <v>302</v>
      </c>
      <c r="E143" s="24">
        <v>0.4055371564022594</v>
      </c>
    </row>
    <row r="144" spans="1:5">
      <c r="A144" s="38" t="s">
        <v>60</v>
      </c>
      <c r="B144">
        <v>150</v>
      </c>
      <c r="C144">
        <f t="shared" si="5"/>
        <v>302</v>
      </c>
      <c r="E144" s="24">
        <v>0.40527211085580789</v>
      </c>
    </row>
    <row r="145" spans="1:5">
      <c r="A145" s="39" t="s">
        <v>53</v>
      </c>
      <c r="B145">
        <v>150</v>
      </c>
      <c r="C145">
        <f t="shared" si="5"/>
        <v>302</v>
      </c>
      <c r="E145" s="24">
        <v>0.43223872794374951</v>
      </c>
    </row>
    <row r="146" spans="1:5">
      <c r="A146" s="38" t="s">
        <v>53</v>
      </c>
      <c r="B146">
        <v>150</v>
      </c>
      <c r="C146">
        <f t="shared" si="5"/>
        <v>302</v>
      </c>
      <c r="E146" s="24">
        <v>0.43205352104328437</v>
      </c>
    </row>
    <row r="147" spans="1:5">
      <c r="A147" s="38" t="s">
        <v>53</v>
      </c>
      <c r="B147">
        <v>150</v>
      </c>
      <c r="C147">
        <f t="shared" si="5"/>
        <v>302</v>
      </c>
      <c r="E147" s="24">
        <v>0.43203346566948136</v>
      </c>
    </row>
    <row r="148" spans="1:5">
      <c r="A148" s="39" t="s">
        <v>54</v>
      </c>
      <c r="B148">
        <v>150</v>
      </c>
      <c r="C148">
        <f t="shared" si="5"/>
        <v>302</v>
      </c>
      <c r="E148" s="24">
        <v>0.38533807525868435</v>
      </c>
    </row>
    <row r="149" spans="1:5">
      <c r="A149" s="38" t="s">
        <v>54</v>
      </c>
      <c r="B149">
        <v>150</v>
      </c>
      <c r="C149">
        <f t="shared" si="5"/>
        <v>302</v>
      </c>
      <c r="E149" s="24">
        <v>0.38525230221823825</v>
      </c>
    </row>
    <row r="150" spans="1:5">
      <c r="A150" s="38" t="s">
        <v>54</v>
      </c>
      <c r="B150">
        <v>150</v>
      </c>
      <c r="C150">
        <f t="shared" si="5"/>
        <v>302</v>
      </c>
      <c r="E150" s="24">
        <v>0.38484158092130943</v>
      </c>
    </row>
    <row r="151" spans="1:5">
      <c r="A151" s="38" t="s">
        <v>62</v>
      </c>
      <c r="B151">
        <v>150</v>
      </c>
      <c r="C151">
        <f t="shared" si="5"/>
        <v>302</v>
      </c>
      <c r="E151" s="24">
        <v>0.34039196601109661</v>
      </c>
    </row>
    <row r="152" spans="1:5">
      <c r="A152" s="38" t="s">
        <v>62</v>
      </c>
      <c r="B152">
        <v>150</v>
      </c>
      <c r="C152">
        <f t="shared" si="5"/>
        <v>302</v>
      </c>
      <c r="E152" s="24">
        <v>0.33495587574260177</v>
      </c>
    </row>
    <row r="153" spans="1:5">
      <c r="A153" s="39" t="s">
        <v>62</v>
      </c>
      <c r="B153">
        <v>150</v>
      </c>
      <c r="C153">
        <f t="shared" si="5"/>
        <v>302</v>
      </c>
      <c r="E153" s="24">
        <v>0.29189760968122913</v>
      </c>
    </row>
    <row r="154" spans="1:5">
      <c r="A154" s="38" t="s">
        <v>64</v>
      </c>
      <c r="B154">
        <v>150</v>
      </c>
      <c r="C154">
        <f t="shared" si="5"/>
        <v>302</v>
      </c>
      <c r="E154" s="24">
        <v>0.23657177299984467</v>
      </c>
    </row>
    <row r="155" spans="1:5">
      <c r="A155" s="38" t="s">
        <v>64</v>
      </c>
      <c r="B155">
        <v>150</v>
      </c>
      <c r="C155">
        <f t="shared" si="5"/>
        <v>302</v>
      </c>
      <c r="E155" s="24">
        <v>0.23599754382911495</v>
      </c>
    </row>
    <row r="156" spans="1:5">
      <c r="A156" s="38" t="s">
        <v>64</v>
      </c>
      <c r="B156">
        <v>150</v>
      </c>
      <c r="C156">
        <f t="shared" si="5"/>
        <v>302</v>
      </c>
      <c r="E156" s="24">
        <v>0.2311385062291671</v>
      </c>
    </row>
    <row r="157" spans="1:5">
      <c r="A157" s="38" t="s">
        <v>63</v>
      </c>
      <c r="B157">
        <v>150</v>
      </c>
      <c r="C157">
        <f t="shared" si="5"/>
        <v>302</v>
      </c>
      <c r="E157" s="24">
        <v>0.27052361403122238</v>
      </c>
    </row>
    <row r="158" spans="1:5">
      <c r="A158" s="38" t="s">
        <v>63</v>
      </c>
      <c r="B158">
        <v>150</v>
      </c>
      <c r="C158">
        <f t="shared" si="5"/>
        <v>302</v>
      </c>
      <c r="E158" s="24">
        <v>0.26788712098999251</v>
      </c>
    </row>
    <row r="159" spans="1:5">
      <c r="A159" s="38" t="s">
        <v>63</v>
      </c>
      <c r="B159">
        <v>150</v>
      </c>
      <c r="C159">
        <f t="shared" si="5"/>
        <v>302</v>
      </c>
      <c r="E159" s="24">
        <v>0.2628985263762304</v>
      </c>
    </row>
    <row r="160" spans="1:5">
      <c r="A160" s="38" t="s">
        <v>65</v>
      </c>
      <c r="B160">
        <v>150</v>
      </c>
      <c r="C160">
        <f t="shared" si="5"/>
        <v>302</v>
      </c>
      <c r="E160" s="24">
        <v>0.22747227552704843</v>
      </c>
    </row>
    <row r="161" spans="1:5">
      <c r="A161" s="38" t="s">
        <v>65</v>
      </c>
      <c r="B161">
        <v>150</v>
      </c>
      <c r="C161">
        <f t="shared" si="5"/>
        <v>302</v>
      </c>
      <c r="E161" s="40">
        <v>0.21656917021658381</v>
      </c>
    </row>
    <row r="162" spans="1:5">
      <c r="A162" s="38" t="s">
        <v>65</v>
      </c>
      <c r="B162">
        <v>150</v>
      </c>
      <c r="C162">
        <f t="shared" si="5"/>
        <v>302</v>
      </c>
      <c r="E162" s="24">
        <v>0.21562758932753032</v>
      </c>
    </row>
    <row r="164" spans="1:5">
      <c r="A164" s="25" t="s">
        <v>59</v>
      </c>
      <c r="B164">
        <v>175</v>
      </c>
      <c r="C164">
        <f t="shared" si="5"/>
        <v>347</v>
      </c>
      <c r="E164" s="24">
        <v>0.45227307445180659</v>
      </c>
    </row>
    <row r="165" spans="1:5">
      <c r="A165" s="25" t="s">
        <v>59</v>
      </c>
      <c r="B165">
        <v>175</v>
      </c>
      <c r="C165">
        <f t="shared" ref="C165:C229" si="6">B165*1.8+32</f>
        <v>347</v>
      </c>
      <c r="E165" s="24">
        <v>0.45213621709592622</v>
      </c>
    </row>
    <row r="166" spans="1:5">
      <c r="A166" s="25" t="s">
        <v>59</v>
      </c>
      <c r="B166">
        <v>175</v>
      </c>
      <c r="C166">
        <f t="shared" si="5"/>
        <v>347</v>
      </c>
      <c r="E166" s="24">
        <v>0.44977400378212856</v>
      </c>
    </row>
    <row r="167" spans="1:5">
      <c r="A167" s="25" t="s">
        <v>57</v>
      </c>
      <c r="B167">
        <v>175</v>
      </c>
      <c r="C167">
        <f t="shared" si="6"/>
        <v>347</v>
      </c>
      <c r="E167" s="24">
        <v>0.39854993574581826</v>
      </c>
    </row>
    <row r="168" spans="1:5">
      <c r="A168" s="25" t="s">
        <v>57</v>
      </c>
      <c r="B168">
        <v>175</v>
      </c>
      <c r="C168">
        <f t="shared" si="6"/>
        <v>347</v>
      </c>
      <c r="E168" s="24">
        <v>0.39123318429404502</v>
      </c>
    </row>
    <row r="169" spans="1:5">
      <c r="A169" s="25" t="s">
        <v>57</v>
      </c>
      <c r="B169">
        <v>175</v>
      </c>
      <c r="C169">
        <f t="shared" si="6"/>
        <v>347</v>
      </c>
      <c r="E169" s="24">
        <v>0.38594170863905886</v>
      </c>
    </row>
    <row r="170" spans="1:5">
      <c r="A170" s="25" t="s">
        <v>56</v>
      </c>
      <c r="B170">
        <v>175</v>
      </c>
      <c r="C170">
        <f t="shared" si="6"/>
        <v>347</v>
      </c>
      <c r="E170" s="24">
        <v>0.38704065153641598</v>
      </c>
    </row>
    <row r="171" spans="1:5">
      <c r="A171" s="25" t="s">
        <v>56</v>
      </c>
      <c r="B171">
        <v>175</v>
      </c>
      <c r="C171">
        <f t="shared" si="6"/>
        <v>347</v>
      </c>
      <c r="E171" s="24">
        <v>0.36266293745295741</v>
      </c>
    </row>
    <row r="172" spans="1:5">
      <c r="A172" s="25" t="s">
        <v>56</v>
      </c>
      <c r="B172">
        <v>175</v>
      </c>
      <c r="C172">
        <f t="shared" si="6"/>
        <v>347</v>
      </c>
      <c r="E172" s="24">
        <v>0.36092493750859117</v>
      </c>
    </row>
    <row r="173" spans="1:5">
      <c r="A173" s="25" t="s">
        <v>55</v>
      </c>
      <c r="B173">
        <v>175</v>
      </c>
      <c r="C173">
        <f t="shared" si="6"/>
        <v>347</v>
      </c>
      <c r="E173" s="24">
        <v>0.42072796090153575</v>
      </c>
    </row>
    <row r="174" spans="1:5">
      <c r="A174" s="25" t="s">
        <v>55</v>
      </c>
      <c r="B174">
        <v>175</v>
      </c>
      <c r="C174">
        <f t="shared" si="6"/>
        <v>347</v>
      </c>
      <c r="E174" s="24">
        <v>0.41462745677336116</v>
      </c>
    </row>
    <row r="175" spans="1:5">
      <c r="A175" s="25" t="s">
        <v>55</v>
      </c>
      <c r="B175">
        <v>175</v>
      </c>
      <c r="C175">
        <f t="shared" si="6"/>
        <v>347</v>
      </c>
      <c r="E175" s="24">
        <v>0.41246719875827204</v>
      </c>
    </row>
    <row r="176" spans="1:5">
      <c r="A176" s="25" t="s">
        <v>53</v>
      </c>
      <c r="B176">
        <v>175</v>
      </c>
      <c r="C176">
        <f t="shared" si="6"/>
        <v>347</v>
      </c>
      <c r="E176" s="24">
        <v>0.41223112898908509</v>
      </c>
    </row>
    <row r="177" spans="1:5">
      <c r="A177" s="25" t="s">
        <v>53</v>
      </c>
      <c r="B177">
        <v>175</v>
      </c>
      <c r="C177">
        <f t="shared" si="6"/>
        <v>347</v>
      </c>
      <c r="E177" s="24">
        <v>0.39976591237434178</v>
      </c>
    </row>
    <row r="178" spans="1:5">
      <c r="A178" s="25" t="s">
        <v>53</v>
      </c>
      <c r="B178">
        <v>175</v>
      </c>
      <c r="C178">
        <f t="shared" si="6"/>
        <v>347</v>
      </c>
      <c r="E178" s="24">
        <v>0.39649987528699993</v>
      </c>
    </row>
    <row r="179" spans="1:5">
      <c r="A179" s="25" t="s">
        <v>66</v>
      </c>
      <c r="B179">
        <v>175</v>
      </c>
      <c r="C179">
        <f t="shared" si="6"/>
        <v>347</v>
      </c>
      <c r="E179" s="24">
        <v>0.36808595890040308</v>
      </c>
    </row>
    <row r="180" spans="1:5">
      <c r="A180" s="25" t="s">
        <v>66</v>
      </c>
      <c r="B180">
        <v>175</v>
      </c>
      <c r="C180">
        <f t="shared" si="6"/>
        <v>347</v>
      </c>
      <c r="E180" s="24">
        <v>0.35254391522931672</v>
      </c>
    </row>
    <row r="181" spans="1:5">
      <c r="A181" s="25" t="s">
        <v>66</v>
      </c>
      <c r="B181">
        <v>175</v>
      </c>
      <c r="C181">
        <f t="shared" si="6"/>
        <v>347</v>
      </c>
      <c r="E181" s="24">
        <v>0.35209400754258408</v>
      </c>
    </row>
    <row r="182" spans="1:5">
      <c r="A182" s="25" t="s">
        <v>67</v>
      </c>
      <c r="B182">
        <v>175</v>
      </c>
      <c r="C182">
        <f t="shared" si="6"/>
        <v>347</v>
      </c>
      <c r="E182" s="24">
        <v>0.32877789237200172</v>
      </c>
    </row>
    <row r="183" spans="1:5">
      <c r="A183" s="25" t="s">
        <v>67</v>
      </c>
      <c r="B183">
        <v>175</v>
      </c>
      <c r="C183">
        <f t="shared" si="6"/>
        <v>347</v>
      </c>
      <c r="E183" s="24">
        <v>0.3280804184456082</v>
      </c>
    </row>
    <row r="184" spans="1:5">
      <c r="A184" s="25" t="s">
        <v>67</v>
      </c>
      <c r="B184">
        <v>175</v>
      </c>
      <c r="C184">
        <f t="shared" si="6"/>
        <v>347</v>
      </c>
      <c r="E184" s="24">
        <v>0.3265305413439511</v>
      </c>
    </row>
    <row r="185" spans="1:5">
      <c r="A185" s="25" t="s">
        <v>68</v>
      </c>
      <c r="B185">
        <v>175</v>
      </c>
      <c r="C185">
        <f t="shared" si="6"/>
        <v>347</v>
      </c>
      <c r="E185" s="24">
        <v>0.26852520591788825</v>
      </c>
    </row>
    <row r="186" spans="1:5">
      <c r="A186" s="25" t="s">
        <v>68</v>
      </c>
      <c r="B186">
        <v>175</v>
      </c>
      <c r="C186">
        <f t="shared" si="6"/>
        <v>347</v>
      </c>
      <c r="E186" s="24">
        <v>0.26212043218421271</v>
      </c>
    </row>
    <row r="187" spans="1:5">
      <c r="A187" s="25" t="s">
        <v>68</v>
      </c>
      <c r="B187">
        <v>175</v>
      </c>
      <c r="C187">
        <f t="shared" si="6"/>
        <v>347</v>
      </c>
      <c r="E187" s="24">
        <v>0.24786015318791196</v>
      </c>
    </row>
    <row r="188" spans="1:5">
      <c r="A188" s="25" t="s">
        <v>69</v>
      </c>
      <c r="B188">
        <v>175</v>
      </c>
      <c r="C188">
        <f t="shared" si="6"/>
        <v>347</v>
      </c>
      <c r="E188" s="24">
        <v>0.22446928741571617</v>
      </c>
    </row>
    <row r="189" spans="1:5">
      <c r="A189" s="25" t="s">
        <v>69</v>
      </c>
      <c r="B189">
        <v>175</v>
      </c>
      <c r="C189">
        <f t="shared" si="6"/>
        <v>347</v>
      </c>
      <c r="E189" s="24">
        <v>0.21081699721199443</v>
      </c>
    </row>
    <row r="190" spans="1:5">
      <c r="A190" s="25" t="s">
        <v>69</v>
      </c>
      <c r="B190">
        <v>175</v>
      </c>
      <c r="C190">
        <f t="shared" si="6"/>
        <v>347</v>
      </c>
      <c r="E190" s="24">
        <v>0.1906504400363874</v>
      </c>
    </row>
    <row r="192" spans="1:5">
      <c r="A192" s="38" t="s">
        <v>59</v>
      </c>
      <c r="B192">
        <v>200</v>
      </c>
      <c r="C192">
        <f t="shared" si="6"/>
        <v>392</v>
      </c>
      <c r="E192" s="24">
        <v>0.47504745705224377</v>
      </c>
    </row>
    <row r="193" spans="1:5">
      <c r="A193" s="38" t="s">
        <v>59</v>
      </c>
      <c r="B193">
        <v>200</v>
      </c>
      <c r="C193">
        <f t="shared" si="6"/>
        <v>392</v>
      </c>
      <c r="E193" s="24">
        <v>0.47493239322967945</v>
      </c>
    </row>
    <row r="194" spans="1:5">
      <c r="A194" s="38" t="s">
        <v>59</v>
      </c>
      <c r="B194">
        <v>200</v>
      </c>
      <c r="C194">
        <f t="shared" si="6"/>
        <v>392</v>
      </c>
      <c r="E194" s="24">
        <v>0.47380200065938144</v>
      </c>
    </row>
    <row r="195" spans="1:5">
      <c r="A195" s="38" t="s">
        <v>61</v>
      </c>
      <c r="B195">
        <v>200</v>
      </c>
      <c r="C195">
        <f t="shared" si="6"/>
        <v>392</v>
      </c>
      <c r="E195" s="24">
        <v>0.45159456699205092</v>
      </c>
    </row>
    <row r="196" spans="1:5">
      <c r="A196" s="38" t="s">
        <v>61</v>
      </c>
      <c r="B196">
        <v>200</v>
      </c>
      <c r="C196">
        <f t="shared" si="6"/>
        <v>392</v>
      </c>
      <c r="E196" s="24">
        <v>0.44985131877078843</v>
      </c>
    </row>
    <row r="197" spans="1:5">
      <c r="A197" s="38" t="s">
        <v>61</v>
      </c>
      <c r="B197">
        <v>200</v>
      </c>
      <c r="C197">
        <f t="shared" si="6"/>
        <v>392</v>
      </c>
      <c r="E197" s="24">
        <v>0.4497006302265204</v>
      </c>
    </row>
    <row r="198" spans="1:5">
      <c r="A198" s="38" t="s">
        <v>60</v>
      </c>
      <c r="B198">
        <v>200</v>
      </c>
      <c r="C198">
        <f t="shared" si="6"/>
        <v>392</v>
      </c>
      <c r="E198" s="24">
        <v>0.43081183283778413</v>
      </c>
    </row>
    <row r="199" spans="1:5">
      <c r="A199" s="38" t="s">
        <v>60</v>
      </c>
      <c r="B199">
        <v>200</v>
      </c>
      <c r="C199">
        <f t="shared" si="6"/>
        <v>392</v>
      </c>
      <c r="E199" s="24">
        <v>0.43079050972520788</v>
      </c>
    </row>
    <row r="200" spans="1:5">
      <c r="A200" s="38" t="s">
        <v>60</v>
      </c>
      <c r="B200">
        <v>200</v>
      </c>
      <c r="C200">
        <f t="shared" si="6"/>
        <v>392</v>
      </c>
      <c r="E200" s="24">
        <v>0.42972281333028389</v>
      </c>
    </row>
    <row r="201" spans="1:5">
      <c r="A201" s="38" t="s">
        <v>70</v>
      </c>
      <c r="B201">
        <v>200</v>
      </c>
      <c r="C201">
        <f t="shared" si="6"/>
        <v>392</v>
      </c>
      <c r="E201" s="24">
        <v>0.40970658987133973</v>
      </c>
    </row>
    <row r="202" spans="1:5">
      <c r="A202" s="38" t="s">
        <v>70</v>
      </c>
      <c r="B202">
        <v>200</v>
      </c>
      <c r="C202">
        <f t="shared" si="6"/>
        <v>392</v>
      </c>
      <c r="E202" s="24">
        <v>0.40423435741514291</v>
      </c>
    </row>
    <row r="203" spans="1:5">
      <c r="A203" s="38" t="s">
        <v>70</v>
      </c>
      <c r="B203">
        <v>200</v>
      </c>
      <c r="C203">
        <f t="shared" si="6"/>
        <v>392</v>
      </c>
      <c r="E203" s="24">
        <v>0.39346410442244178</v>
      </c>
    </row>
    <row r="204" spans="1:5">
      <c r="A204" s="38" t="s">
        <v>54</v>
      </c>
      <c r="B204">
        <v>200</v>
      </c>
      <c r="C204">
        <f t="shared" si="6"/>
        <v>392</v>
      </c>
      <c r="E204" s="24">
        <v>0.42551372895906564</v>
      </c>
    </row>
    <row r="205" spans="1:5">
      <c r="A205" s="38" t="s">
        <v>54</v>
      </c>
      <c r="B205">
        <v>200</v>
      </c>
      <c r="C205">
        <f t="shared" si="6"/>
        <v>392</v>
      </c>
      <c r="E205" s="24">
        <v>0.42548420948758364</v>
      </c>
    </row>
    <row r="206" spans="1:5">
      <c r="A206" s="38" t="s">
        <v>54</v>
      </c>
      <c r="B206">
        <v>200</v>
      </c>
      <c r="C206">
        <f t="shared" si="6"/>
        <v>392</v>
      </c>
      <c r="E206" s="24">
        <v>0.42462622041874276</v>
      </c>
    </row>
    <row r="207" spans="1:5">
      <c r="A207" s="38" t="s">
        <v>62</v>
      </c>
      <c r="B207">
        <v>200</v>
      </c>
      <c r="C207">
        <f t="shared" si="6"/>
        <v>392</v>
      </c>
      <c r="E207" s="24">
        <v>0.40568378755890633</v>
      </c>
    </row>
    <row r="208" spans="1:5">
      <c r="A208" s="38" t="s">
        <v>62</v>
      </c>
      <c r="B208">
        <v>200</v>
      </c>
      <c r="C208">
        <f t="shared" si="6"/>
        <v>392</v>
      </c>
      <c r="E208" s="24">
        <v>0.40556860464358357</v>
      </c>
    </row>
    <row r="209" spans="1:5">
      <c r="A209" s="38" t="s">
        <v>62</v>
      </c>
      <c r="B209">
        <v>200</v>
      </c>
      <c r="C209">
        <f t="shared" si="6"/>
        <v>392</v>
      </c>
      <c r="E209" s="24">
        <v>0.40484088485061676</v>
      </c>
    </row>
    <row r="210" spans="1:5">
      <c r="A210" s="38" t="s">
        <v>64</v>
      </c>
      <c r="B210">
        <v>200</v>
      </c>
      <c r="C210">
        <f t="shared" si="6"/>
        <v>392</v>
      </c>
      <c r="E210" s="24">
        <v>0.3855541431554691</v>
      </c>
    </row>
    <row r="211" spans="1:5">
      <c r="A211" s="38" t="s">
        <v>64</v>
      </c>
      <c r="B211">
        <v>200</v>
      </c>
      <c r="C211">
        <f t="shared" si="6"/>
        <v>392</v>
      </c>
      <c r="E211" s="24">
        <v>0.38159539409089815</v>
      </c>
    </row>
    <row r="212" spans="1:5">
      <c r="A212" s="38" t="s">
        <v>64</v>
      </c>
      <c r="B212">
        <v>200</v>
      </c>
      <c r="C212">
        <f t="shared" si="6"/>
        <v>392</v>
      </c>
      <c r="E212" s="24">
        <v>0.37253684890577043</v>
      </c>
    </row>
    <row r="213" spans="1:5">
      <c r="A213" s="38" t="s">
        <v>63</v>
      </c>
      <c r="B213">
        <v>200</v>
      </c>
      <c r="C213">
        <f t="shared" si="6"/>
        <v>392</v>
      </c>
      <c r="E213" s="24">
        <v>0.39916781895542935</v>
      </c>
    </row>
    <row r="214" spans="1:5">
      <c r="A214" s="38" t="s">
        <v>63</v>
      </c>
      <c r="B214">
        <v>200</v>
      </c>
      <c r="C214">
        <f t="shared" si="6"/>
        <v>392</v>
      </c>
      <c r="E214" s="24">
        <v>0.39901193309414379</v>
      </c>
    </row>
    <row r="215" spans="1:5">
      <c r="A215" s="38" t="s">
        <v>63</v>
      </c>
      <c r="B215">
        <v>200</v>
      </c>
      <c r="C215">
        <f t="shared" si="6"/>
        <v>392</v>
      </c>
      <c r="E215" s="24">
        <v>0.39892386209676917</v>
      </c>
    </row>
    <row r="216" spans="1:5">
      <c r="A216" s="38" t="s">
        <v>71</v>
      </c>
      <c r="B216">
        <v>200</v>
      </c>
      <c r="C216">
        <f t="shared" si="6"/>
        <v>392</v>
      </c>
      <c r="E216" s="24">
        <v>0.35672099281876535</v>
      </c>
    </row>
    <row r="217" spans="1:5">
      <c r="A217" s="38" t="s">
        <v>71</v>
      </c>
      <c r="B217">
        <v>200</v>
      </c>
      <c r="C217">
        <f t="shared" si="6"/>
        <v>392</v>
      </c>
      <c r="E217" s="24">
        <v>0.34969556007553687</v>
      </c>
    </row>
    <row r="218" spans="1:5">
      <c r="A218" s="38" t="s">
        <v>71</v>
      </c>
      <c r="B218">
        <v>200</v>
      </c>
      <c r="C218">
        <f t="shared" si="6"/>
        <v>392</v>
      </c>
      <c r="E218" s="24">
        <v>0.33554119321380332</v>
      </c>
    </row>
    <row r="219" spans="1:5">
      <c r="A219" s="38" t="s">
        <v>72</v>
      </c>
      <c r="B219">
        <v>200</v>
      </c>
      <c r="C219">
        <f t="shared" si="6"/>
        <v>392</v>
      </c>
      <c r="E219" s="24">
        <v>0.37085159834672565</v>
      </c>
    </row>
    <row r="220" spans="1:5">
      <c r="A220" s="38" t="s">
        <v>72</v>
      </c>
      <c r="B220">
        <v>200</v>
      </c>
      <c r="C220">
        <f t="shared" si="6"/>
        <v>392</v>
      </c>
      <c r="E220" s="24">
        <v>0.36970461880168687</v>
      </c>
    </row>
    <row r="221" spans="1:5">
      <c r="A221" s="38" t="s">
        <v>72</v>
      </c>
      <c r="B221">
        <v>200</v>
      </c>
      <c r="C221">
        <f t="shared" si="6"/>
        <v>392</v>
      </c>
      <c r="E221" s="24">
        <v>0.3639053608680401</v>
      </c>
    </row>
    <row r="222" spans="1:5">
      <c r="A222" s="38" t="s">
        <v>73</v>
      </c>
      <c r="B222">
        <v>200</v>
      </c>
      <c r="C222">
        <f t="shared" si="6"/>
        <v>392</v>
      </c>
      <c r="E222" s="24">
        <v>0.34371871592737596</v>
      </c>
    </row>
    <row r="223" spans="1:5">
      <c r="A223" s="38" t="s">
        <v>73</v>
      </c>
      <c r="B223">
        <v>200</v>
      </c>
      <c r="C223">
        <f t="shared" si="6"/>
        <v>392</v>
      </c>
      <c r="E223" s="24">
        <v>0.3315772745182996</v>
      </c>
    </row>
    <row r="224" spans="1:5">
      <c r="A224" s="38" t="s">
        <v>73</v>
      </c>
      <c r="B224">
        <v>200</v>
      </c>
      <c r="C224">
        <f t="shared" si="6"/>
        <v>392</v>
      </c>
      <c r="E224" s="24">
        <v>0.32218800030946154</v>
      </c>
    </row>
    <row r="226" spans="1:6">
      <c r="A226" s="32" t="s">
        <v>59</v>
      </c>
      <c r="B226">
        <v>200</v>
      </c>
      <c r="C226">
        <f t="shared" si="6"/>
        <v>392</v>
      </c>
      <c r="E226" s="41">
        <v>0.44111936041314354</v>
      </c>
      <c r="F226" s="41">
        <v>0.502767113354322</v>
      </c>
    </row>
    <row r="227" spans="1:6">
      <c r="A227" s="32" t="s">
        <v>59</v>
      </c>
      <c r="B227">
        <v>200</v>
      </c>
      <c r="C227">
        <f t="shared" si="6"/>
        <v>392</v>
      </c>
      <c r="E227" s="41">
        <v>0.44030383535629425</v>
      </c>
      <c r="F227" s="41">
        <v>0.50179073448373845</v>
      </c>
    </row>
    <row r="228" spans="1:6">
      <c r="A228" s="32" t="s">
        <v>59</v>
      </c>
      <c r="B228">
        <v>200</v>
      </c>
      <c r="C228">
        <f t="shared" si="6"/>
        <v>392</v>
      </c>
      <c r="E228" s="41">
        <v>0.44001986645253827</v>
      </c>
      <c r="F228" s="41">
        <v>0.5016958475940535</v>
      </c>
    </row>
    <row r="229" spans="1:6">
      <c r="A229" s="32" t="s">
        <v>79</v>
      </c>
      <c r="B229">
        <v>200</v>
      </c>
      <c r="C229">
        <f t="shared" si="6"/>
        <v>392</v>
      </c>
      <c r="E229" s="41">
        <v>0.31112382960389234</v>
      </c>
      <c r="F229" s="41">
        <v>0.31092665033917821</v>
      </c>
    </row>
    <row r="230" spans="1:6">
      <c r="A230" s="32" t="s">
        <v>79</v>
      </c>
      <c r="B230">
        <v>200</v>
      </c>
      <c r="C230">
        <f t="shared" ref="C230:C294" si="7">B230*1.8+32</f>
        <v>392</v>
      </c>
      <c r="E230" s="41">
        <v>0.31092665033917821</v>
      </c>
      <c r="F230" s="41">
        <v>0.30988494366319552</v>
      </c>
    </row>
    <row r="231" spans="1:6">
      <c r="A231" s="32" t="s">
        <v>79</v>
      </c>
      <c r="B231">
        <v>200</v>
      </c>
      <c r="C231">
        <f t="shared" si="7"/>
        <v>392</v>
      </c>
      <c r="E231" s="41">
        <v>0.30988494366319552</v>
      </c>
      <c r="F231" s="41">
        <v>0.30898714382361053</v>
      </c>
    </row>
    <row r="232" spans="1:6">
      <c r="A232" s="32" t="s">
        <v>80</v>
      </c>
      <c r="B232">
        <v>200</v>
      </c>
      <c r="C232">
        <f t="shared" si="7"/>
        <v>392</v>
      </c>
      <c r="E232" s="41">
        <v>0.34450976838159225</v>
      </c>
      <c r="F232" s="41">
        <v>0.34450976838159225</v>
      </c>
    </row>
    <row r="233" spans="1:6">
      <c r="A233" s="32" t="s">
        <v>80</v>
      </c>
      <c r="B233">
        <v>200</v>
      </c>
      <c r="C233">
        <f t="shared" si="7"/>
        <v>392</v>
      </c>
      <c r="E233" s="41">
        <v>0.34342051672356649</v>
      </c>
      <c r="F233" s="41">
        <v>0.34443340685682744</v>
      </c>
    </row>
    <row r="234" spans="1:6">
      <c r="A234" s="32" t="s">
        <v>80</v>
      </c>
      <c r="B234">
        <v>200</v>
      </c>
      <c r="C234">
        <f t="shared" si="7"/>
        <v>392</v>
      </c>
      <c r="E234" s="41">
        <v>0.3433028185351199</v>
      </c>
      <c r="F234" s="41">
        <v>0.34365199017399201</v>
      </c>
    </row>
    <row r="235" spans="1:6">
      <c r="A235" s="32" t="s">
        <v>65</v>
      </c>
      <c r="B235">
        <v>200</v>
      </c>
      <c r="C235">
        <f t="shared" si="7"/>
        <v>392</v>
      </c>
      <c r="E235" s="41">
        <v>0.37029115929019579</v>
      </c>
      <c r="F235" s="41">
        <v>0.38046316188437385</v>
      </c>
    </row>
    <row r="236" spans="1:6">
      <c r="A236" s="32" t="s">
        <v>65</v>
      </c>
      <c r="B236">
        <v>200</v>
      </c>
      <c r="C236">
        <f t="shared" si="7"/>
        <v>392</v>
      </c>
      <c r="E236" s="41">
        <v>0.36966040510941517</v>
      </c>
      <c r="F236" s="41">
        <v>0.37951426904050667</v>
      </c>
    </row>
    <row r="237" spans="1:6">
      <c r="A237" s="32" t="s">
        <v>65</v>
      </c>
      <c r="B237">
        <v>200</v>
      </c>
      <c r="C237">
        <f t="shared" si="7"/>
        <v>392</v>
      </c>
      <c r="E237" s="41">
        <v>0.369239388764452</v>
      </c>
      <c r="F237" s="41">
        <v>0.37842173762204756</v>
      </c>
    </row>
    <row r="238" spans="1:6">
      <c r="A238" s="32" t="s">
        <v>81</v>
      </c>
      <c r="B238">
        <v>200</v>
      </c>
      <c r="C238">
        <f t="shared" si="7"/>
        <v>392</v>
      </c>
      <c r="E238" s="41">
        <v>0.39441485330788478</v>
      </c>
      <c r="F238" s="41">
        <v>0.42310147109412261</v>
      </c>
    </row>
    <row r="239" spans="1:6">
      <c r="A239" s="32" t="s">
        <v>81</v>
      </c>
      <c r="B239">
        <v>200</v>
      </c>
      <c r="C239">
        <f t="shared" si="7"/>
        <v>392</v>
      </c>
      <c r="E239" s="41">
        <v>0.39397272295896479</v>
      </c>
      <c r="F239" s="41">
        <v>0.41736856214071794</v>
      </c>
    </row>
    <row r="240" spans="1:6">
      <c r="A240" s="32" t="s">
        <v>81</v>
      </c>
      <c r="B240">
        <v>200</v>
      </c>
      <c r="C240">
        <f t="shared" si="7"/>
        <v>392</v>
      </c>
      <c r="E240" s="41">
        <v>0.39303395197735574</v>
      </c>
      <c r="F240" s="41">
        <v>0.41709494025025878</v>
      </c>
    </row>
    <row r="241" spans="1:6">
      <c r="A241" s="32" t="s">
        <v>53</v>
      </c>
      <c r="B241">
        <v>200</v>
      </c>
      <c r="C241">
        <f t="shared" si="7"/>
        <v>392</v>
      </c>
      <c r="E241" s="41">
        <v>0.41714147124008466</v>
      </c>
      <c r="F241" s="41">
        <v>0.46067474460667718</v>
      </c>
    </row>
    <row r="242" spans="1:6">
      <c r="A242" s="32" t="s">
        <v>53</v>
      </c>
      <c r="B242">
        <v>200</v>
      </c>
      <c r="C242">
        <f t="shared" si="7"/>
        <v>392</v>
      </c>
      <c r="E242" s="41">
        <v>0.4165761902638892</v>
      </c>
      <c r="F242" s="41">
        <v>0.45932571617599821</v>
      </c>
    </row>
    <row r="243" spans="1:6">
      <c r="A243" s="32" t="s">
        <v>53</v>
      </c>
      <c r="B243">
        <v>200</v>
      </c>
      <c r="C243">
        <f t="shared" si="7"/>
        <v>392</v>
      </c>
      <c r="E243" s="41">
        <v>0.41635525408444762</v>
      </c>
      <c r="F243" s="41">
        <v>0.45742655134233268</v>
      </c>
    </row>
    <row r="245" spans="1:6">
      <c r="A245" s="32" t="s">
        <v>53</v>
      </c>
      <c r="B245">
        <v>225</v>
      </c>
      <c r="C245">
        <f t="shared" si="7"/>
        <v>437</v>
      </c>
      <c r="E245" s="41">
        <v>0.38466255035961783</v>
      </c>
      <c r="F245" s="41">
        <v>0.46119486997732639</v>
      </c>
    </row>
    <row r="246" spans="1:6">
      <c r="A246" s="32" t="s">
        <v>53</v>
      </c>
      <c r="B246">
        <v>225</v>
      </c>
      <c r="C246">
        <f t="shared" si="7"/>
        <v>437</v>
      </c>
      <c r="E246" s="41">
        <v>0.38449023045238701</v>
      </c>
      <c r="F246" s="41">
        <v>0.46042840437100646</v>
      </c>
    </row>
    <row r="247" spans="1:6">
      <c r="A247" s="32" t="s">
        <v>53</v>
      </c>
      <c r="B247">
        <v>225</v>
      </c>
      <c r="C247">
        <f t="shared" si="7"/>
        <v>437</v>
      </c>
      <c r="E247" s="41">
        <v>0.38215474243308645</v>
      </c>
      <c r="F247" s="41">
        <v>0.46014233700416224</v>
      </c>
    </row>
    <row r="248" spans="1:6">
      <c r="A248" s="32" t="s">
        <v>81</v>
      </c>
      <c r="B248">
        <v>225</v>
      </c>
      <c r="C248">
        <f t="shared" si="7"/>
        <v>437</v>
      </c>
      <c r="E248" s="41">
        <v>0.36953995740883716</v>
      </c>
      <c r="F248" s="41">
        <v>0.42808116296895898</v>
      </c>
    </row>
    <row r="249" spans="1:6">
      <c r="A249" s="32" t="s">
        <v>81</v>
      </c>
      <c r="B249">
        <v>225</v>
      </c>
      <c r="C249">
        <f t="shared" si="7"/>
        <v>437</v>
      </c>
      <c r="E249" s="41">
        <v>0.36842303295721818</v>
      </c>
      <c r="F249" s="41">
        <v>0.42738884131669103</v>
      </c>
    </row>
    <row r="250" spans="1:6">
      <c r="A250" s="32" t="s">
        <v>81</v>
      </c>
      <c r="B250">
        <v>225</v>
      </c>
      <c r="C250">
        <f t="shared" si="7"/>
        <v>437</v>
      </c>
      <c r="E250" s="41">
        <v>0.36533315203103095</v>
      </c>
      <c r="F250" s="41">
        <v>0.4271259049734662</v>
      </c>
    </row>
    <row r="251" spans="1:6">
      <c r="A251" s="32" t="s">
        <v>65</v>
      </c>
      <c r="B251">
        <v>225</v>
      </c>
      <c r="C251">
        <f t="shared" si="7"/>
        <v>437</v>
      </c>
      <c r="E251" s="41">
        <v>0.35270001900730558</v>
      </c>
      <c r="F251" s="41">
        <v>0.39618778563918844</v>
      </c>
    </row>
    <row r="252" spans="1:6">
      <c r="A252" s="32" t="s">
        <v>65</v>
      </c>
      <c r="B252">
        <v>225</v>
      </c>
      <c r="C252">
        <f t="shared" si="7"/>
        <v>437</v>
      </c>
      <c r="E252" s="41">
        <v>0.3495623015927764</v>
      </c>
      <c r="F252" s="41">
        <v>0.39314538380475617</v>
      </c>
    </row>
    <row r="253" spans="1:6">
      <c r="A253" s="32" t="s">
        <v>65</v>
      </c>
      <c r="B253">
        <v>225</v>
      </c>
      <c r="C253">
        <f t="shared" si="7"/>
        <v>437</v>
      </c>
      <c r="E253" s="41">
        <v>0.34829623877175303</v>
      </c>
      <c r="F253" s="41">
        <v>0.39225601554105055</v>
      </c>
    </row>
    <row r="254" spans="1:6">
      <c r="A254" s="32" t="s">
        <v>80</v>
      </c>
      <c r="B254">
        <v>225</v>
      </c>
      <c r="C254">
        <f t="shared" si="7"/>
        <v>437</v>
      </c>
      <c r="E254" s="41">
        <v>0.33358806388324341</v>
      </c>
      <c r="F254" s="41">
        <v>0.3580181821809455</v>
      </c>
    </row>
    <row r="255" spans="1:6">
      <c r="A255" s="32" t="s">
        <v>80</v>
      </c>
      <c r="B255">
        <v>225</v>
      </c>
      <c r="C255">
        <f t="shared" si="7"/>
        <v>437</v>
      </c>
      <c r="E255" s="41">
        <v>0.33299401955553526</v>
      </c>
      <c r="F255" s="41">
        <v>0.35639353113251215</v>
      </c>
    </row>
    <row r="256" spans="1:6">
      <c r="A256" s="32" t="s">
        <v>80</v>
      </c>
      <c r="B256">
        <v>225</v>
      </c>
      <c r="C256">
        <f t="shared" si="7"/>
        <v>437</v>
      </c>
      <c r="E256" s="41">
        <v>0.33073609979985713</v>
      </c>
      <c r="F256" s="41">
        <v>0.35551620323130817</v>
      </c>
    </row>
    <row r="257" spans="1:6">
      <c r="A257" s="32" t="s">
        <v>79</v>
      </c>
      <c r="B257">
        <v>225</v>
      </c>
      <c r="C257">
        <f t="shared" si="7"/>
        <v>437</v>
      </c>
      <c r="E257" s="41">
        <v>0.31784171709786102</v>
      </c>
      <c r="F257" s="41">
        <v>0.32111043120174099</v>
      </c>
    </row>
    <row r="258" spans="1:6">
      <c r="A258" s="32" t="s">
        <v>79</v>
      </c>
      <c r="B258">
        <v>225</v>
      </c>
      <c r="C258">
        <f t="shared" si="7"/>
        <v>437</v>
      </c>
      <c r="E258" s="41">
        <v>0.31582179755057332</v>
      </c>
      <c r="F258" s="41">
        <v>0.32106618693003713</v>
      </c>
    </row>
    <row r="259" spans="1:6">
      <c r="A259" s="32" t="s">
        <v>79</v>
      </c>
      <c r="B259">
        <v>225</v>
      </c>
      <c r="C259">
        <f t="shared" si="7"/>
        <v>437</v>
      </c>
      <c r="E259" s="41">
        <v>0.31548201408179805</v>
      </c>
      <c r="F259" s="41">
        <v>0.32070642827718782</v>
      </c>
    </row>
    <row r="260" spans="1:6">
      <c r="A260" s="32" t="s">
        <v>59</v>
      </c>
      <c r="B260">
        <v>225</v>
      </c>
      <c r="C260">
        <f t="shared" si="7"/>
        <v>437</v>
      </c>
      <c r="E260">
        <v>0.4009969046575359</v>
      </c>
      <c r="F260" s="41">
        <v>0.49797048453732784</v>
      </c>
    </row>
    <row r="261" spans="1:6">
      <c r="A261" s="32" t="s">
        <v>59</v>
      </c>
      <c r="B261">
        <v>225</v>
      </c>
      <c r="C261">
        <f t="shared" si="7"/>
        <v>437</v>
      </c>
      <c r="E261">
        <v>0.40094315651264539</v>
      </c>
      <c r="F261" s="41">
        <v>0.49720217009144257</v>
      </c>
    </row>
    <row r="262" spans="1:6">
      <c r="A262" s="32" t="s">
        <v>59</v>
      </c>
      <c r="B262">
        <v>225</v>
      </c>
      <c r="C262">
        <f t="shared" si="7"/>
        <v>437</v>
      </c>
      <c r="E262">
        <v>0.39400866939342155</v>
      </c>
      <c r="F262" s="41">
        <v>0.49692971725872837</v>
      </c>
    </row>
    <row r="264" spans="1:6">
      <c r="A264" s="32" t="s">
        <v>59</v>
      </c>
      <c r="B264">
        <v>250</v>
      </c>
      <c r="C264">
        <f t="shared" si="7"/>
        <v>482</v>
      </c>
      <c r="E264" s="41">
        <v>0.36353852415190951</v>
      </c>
      <c r="F264" s="41">
        <v>0.4897243371074218</v>
      </c>
    </row>
    <row r="265" spans="1:6">
      <c r="A265" s="32" t="s">
        <v>59</v>
      </c>
      <c r="B265">
        <v>250</v>
      </c>
      <c r="C265">
        <f t="shared" si="7"/>
        <v>482</v>
      </c>
      <c r="E265" s="41">
        <v>0.3631760035005549</v>
      </c>
      <c r="F265" s="41">
        <v>0.48793481855423321</v>
      </c>
    </row>
    <row r="266" spans="1:6">
      <c r="A266" s="32" t="s">
        <v>59</v>
      </c>
      <c r="B266">
        <v>250</v>
      </c>
      <c r="C266">
        <f t="shared" si="7"/>
        <v>482</v>
      </c>
      <c r="E266" s="41">
        <v>0.3631600084844418</v>
      </c>
      <c r="F266" s="41">
        <v>0.4860820111851748</v>
      </c>
    </row>
    <row r="267" spans="1:6">
      <c r="A267" s="32" t="s">
        <v>78</v>
      </c>
      <c r="B267">
        <v>250</v>
      </c>
      <c r="C267">
        <f t="shared" si="7"/>
        <v>482</v>
      </c>
      <c r="E267" s="41">
        <v>0.28480410501908726</v>
      </c>
      <c r="F267" s="41">
        <v>0.30908771110995065</v>
      </c>
    </row>
    <row r="268" spans="1:6">
      <c r="A268" s="32" t="s">
        <v>78</v>
      </c>
      <c r="B268">
        <v>250</v>
      </c>
      <c r="C268">
        <f t="shared" si="7"/>
        <v>482</v>
      </c>
      <c r="E268" s="41">
        <v>0.28265140607826406</v>
      </c>
      <c r="F268" s="41">
        <v>0.30850714518553829</v>
      </c>
    </row>
    <row r="269" spans="1:6">
      <c r="A269" s="32" t="s">
        <v>78</v>
      </c>
      <c r="B269">
        <v>250</v>
      </c>
      <c r="C269">
        <f t="shared" si="7"/>
        <v>482</v>
      </c>
      <c r="E269" s="41">
        <v>0.27821500881224392</v>
      </c>
      <c r="F269" s="41">
        <v>0.30668455208841627</v>
      </c>
    </row>
    <row r="270" spans="1:6">
      <c r="A270" s="32" t="s">
        <v>79</v>
      </c>
      <c r="B270">
        <v>250</v>
      </c>
      <c r="C270">
        <f t="shared" si="7"/>
        <v>482</v>
      </c>
      <c r="E270" s="41">
        <v>0.30792192681201042</v>
      </c>
      <c r="F270" s="41">
        <v>0.35631045683087376</v>
      </c>
    </row>
    <row r="271" spans="1:6">
      <c r="A271" s="32" t="s">
        <v>79</v>
      </c>
      <c r="B271">
        <v>250</v>
      </c>
      <c r="C271">
        <f t="shared" si="7"/>
        <v>482</v>
      </c>
      <c r="E271" s="41">
        <v>0.30723568338008195</v>
      </c>
      <c r="F271" s="41">
        <v>0.35365465723345407</v>
      </c>
    </row>
    <row r="272" spans="1:6">
      <c r="A272" s="32" t="s">
        <v>79</v>
      </c>
      <c r="B272">
        <v>250</v>
      </c>
      <c r="C272">
        <f t="shared" si="7"/>
        <v>482</v>
      </c>
      <c r="E272" s="41">
        <v>0.30686261811969773</v>
      </c>
      <c r="F272" s="41">
        <v>0.35331339020869007</v>
      </c>
    </row>
    <row r="273" spans="1:8">
      <c r="A273" s="32" t="s">
        <v>80</v>
      </c>
      <c r="B273">
        <v>250</v>
      </c>
      <c r="C273">
        <f t="shared" si="7"/>
        <v>482</v>
      </c>
      <c r="E273" s="41">
        <v>0.31839349006409218</v>
      </c>
      <c r="F273" s="41">
        <v>0.38095438033460394</v>
      </c>
    </row>
    <row r="274" spans="1:8">
      <c r="A274" s="32" t="s">
        <v>80</v>
      </c>
      <c r="B274">
        <v>250</v>
      </c>
      <c r="C274">
        <f t="shared" si="7"/>
        <v>482</v>
      </c>
      <c r="E274" s="41">
        <v>0.31784480135626136</v>
      </c>
      <c r="F274" s="41">
        <v>0.37960128210557859</v>
      </c>
    </row>
    <row r="275" spans="1:8">
      <c r="A275" s="32" t="s">
        <v>80</v>
      </c>
      <c r="B275">
        <v>250</v>
      </c>
      <c r="C275">
        <f t="shared" si="7"/>
        <v>482</v>
      </c>
      <c r="E275" s="41">
        <v>0.31748527665598553</v>
      </c>
      <c r="F275" s="41">
        <v>0.37657330079347667</v>
      </c>
    </row>
    <row r="276" spans="1:8">
      <c r="A276" s="32" t="s">
        <v>65</v>
      </c>
      <c r="B276">
        <v>250</v>
      </c>
      <c r="C276">
        <f t="shared" si="7"/>
        <v>482</v>
      </c>
      <c r="E276" s="41">
        <v>0.32874018137289512</v>
      </c>
      <c r="F276" s="41">
        <v>0.40451471347545481</v>
      </c>
    </row>
    <row r="277" spans="1:8">
      <c r="A277" s="32" t="s">
        <v>65</v>
      </c>
      <c r="B277">
        <v>250</v>
      </c>
      <c r="C277">
        <f t="shared" si="7"/>
        <v>482</v>
      </c>
      <c r="E277" s="41">
        <v>0.32823246260237915</v>
      </c>
      <c r="F277" s="41">
        <v>0.40242159286697254</v>
      </c>
    </row>
    <row r="278" spans="1:8">
      <c r="A278" s="32" t="s">
        <v>65</v>
      </c>
      <c r="B278">
        <v>250</v>
      </c>
      <c r="C278">
        <f t="shared" si="7"/>
        <v>482</v>
      </c>
      <c r="E278" s="41">
        <v>0.32801399093223177</v>
      </c>
      <c r="F278" s="41">
        <v>0.40185506793565051</v>
      </c>
    </row>
    <row r="279" spans="1:8">
      <c r="A279" s="32" t="s">
        <v>81</v>
      </c>
      <c r="B279">
        <v>250</v>
      </c>
      <c r="C279">
        <f t="shared" si="7"/>
        <v>482</v>
      </c>
      <c r="E279" s="41">
        <v>0.33948260677937175</v>
      </c>
      <c r="F279" s="41">
        <v>0.42994646316119056</v>
      </c>
    </row>
    <row r="280" spans="1:8">
      <c r="A280" s="32" t="s">
        <v>81</v>
      </c>
      <c r="B280">
        <v>250</v>
      </c>
      <c r="C280">
        <f t="shared" si="7"/>
        <v>482</v>
      </c>
      <c r="E280" s="41">
        <v>0.33896781259601727</v>
      </c>
      <c r="F280" s="41">
        <v>0.42897539053758732</v>
      </c>
    </row>
    <row r="281" spans="1:8">
      <c r="A281" s="32" t="s">
        <v>81</v>
      </c>
      <c r="B281">
        <v>250</v>
      </c>
      <c r="C281">
        <f t="shared" si="7"/>
        <v>482</v>
      </c>
      <c r="E281" s="41">
        <v>0.33892701317349327</v>
      </c>
      <c r="F281" s="41">
        <v>0.42804441902068108</v>
      </c>
    </row>
    <row r="282" spans="1:8">
      <c r="A282" s="32" t="s">
        <v>53</v>
      </c>
      <c r="B282">
        <v>250</v>
      </c>
      <c r="C282">
        <f t="shared" si="7"/>
        <v>482</v>
      </c>
      <c r="E282" s="41">
        <v>0.35080383294082723</v>
      </c>
      <c r="F282" s="41">
        <v>0.45845647770350167</v>
      </c>
    </row>
    <row r="283" spans="1:8">
      <c r="A283" s="32" t="s">
        <v>53</v>
      </c>
      <c r="B283">
        <v>250</v>
      </c>
      <c r="C283">
        <f t="shared" si="7"/>
        <v>482</v>
      </c>
      <c r="E283" s="41">
        <v>0.3503785967012048</v>
      </c>
      <c r="F283" s="41">
        <v>0.45735368956143235</v>
      </c>
    </row>
    <row r="284" spans="1:8">
      <c r="A284" s="32" t="s">
        <v>53</v>
      </c>
      <c r="B284">
        <v>250</v>
      </c>
      <c r="C284">
        <f t="shared" si="7"/>
        <v>482</v>
      </c>
      <c r="E284" s="41">
        <v>0.35037748794464468</v>
      </c>
      <c r="F284" s="41">
        <v>0.45420316829652002</v>
      </c>
    </row>
    <row r="286" spans="1:8">
      <c r="B286">
        <v>129.44444444444443</v>
      </c>
      <c r="C286">
        <f t="shared" si="7"/>
        <v>265</v>
      </c>
      <c r="H286">
        <v>0.22342226145138733</v>
      </c>
    </row>
    <row r="287" spans="1:8">
      <c r="B287">
        <v>129.44444444444443</v>
      </c>
      <c r="C287">
        <f t="shared" si="7"/>
        <v>265</v>
      </c>
      <c r="H287">
        <v>0.25780461167786095</v>
      </c>
    </row>
    <row r="288" spans="1:8">
      <c r="B288">
        <v>150</v>
      </c>
      <c r="C288">
        <f t="shared" si="7"/>
        <v>302</v>
      </c>
      <c r="H288">
        <v>0.29790616265797415</v>
      </c>
    </row>
    <row r="289" spans="2:9">
      <c r="B289">
        <v>165.55555555555554</v>
      </c>
      <c r="C289">
        <f t="shared" si="7"/>
        <v>330</v>
      </c>
      <c r="H289">
        <v>0.36119327683684233</v>
      </c>
    </row>
    <row r="290" spans="2:9">
      <c r="B290">
        <v>165.55555555555554</v>
      </c>
      <c r="C290">
        <f t="shared" si="7"/>
        <v>330</v>
      </c>
      <c r="H290">
        <v>0.37491530828648634</v>
      </c>
    </row>
    <row r="291" spans="2:9">
      <c r="B291">
        <v>190.55555555555554</v>
      </c>
      <c r="C291">
        <f t="shared" si="7"/>
        <v>375</v>
      </c>
      <c r="H291">
        <v>0.35031562773703967</v>
      </c>
    </row>
    <row r="292" spans="2:9">
      <c r="B292">
        <v>190.55555555555554</v>
      </c>
      <c r="C292">
        <f t="shared" si="7"/>
        <v>375</v>
      </c>
      <c r="H292">
        <v>0.40176117986799426</v>
      </c>
    </row>
    <row r="294" spans="2:9">
      <c r="B294">
        <v>129.44444444444443</v>
      </c>
      <c r="C294">
        <f t="shared" si="7"/>
        <v>265</v>
      </c>
      <c r="I294">
        <v>0.12456337366000389</v>
      </c>
    </row>
    <row r="295" spans="2:9">
      <c r="B295">
        <v>150</v>
      </c>
      <c r="C295">
        <f t="shared" ref="C295:C302" si="8">B295*1.8+32</f>
        <v>302</v>
      </c>
      <c r="I295">
        <v>0.21304465988182655</v>
      </c>
    </row>
    <row r="296" spans="2:9">
      <c r="B296">
        <v>165.55555555555554</v>
      </c>
      <c r="C296">
        <f t="shared" si="8"/>
        <v>330</v>
      </c>
      <c r="I296">
        <v>0.27328394066412381</v>
      </c>
    </row>
    <row r="297" spans="2:9">
      <c r="B297">
        <v>190.55555555555554</v>
      </c>
      <c r="C297">
        <f t="shared" si="8"/>
        <v>375</v>
      </c>
      <c r="I297">
        <v>0.29863458668046383</v>
      </c>
    </row>
    <row r="298" spans="2:9">
      <c r="B298">
        <v>273.88888888888886</v>
      </c>
      <c r="C298">
        <f t="shared" si="8"/>
        <v>525</v>
      </c>
      <c r="I298">
        <v>0.36707746626240068</v>
      </c>
    </row>
    <row r="299" spans="2:9">
      <c r="B299">
        <v>218.33333333333331</v>
      </c>
      <c r="C299">
        <f t="shared" si="8"/>
        <v>425</v>
      </c>
      <c r="I299">
        <v>0.35421063810388298</v>
      </c>
    </row>
    <row r="300" spans="2:9">
      <c r="B300">
        <v>232.22222222222223</v>
      </c>
      <c r="C300">
        <f t="shared" si="8"/>
        <v>450</v>
      </c>
      <c r="I300">
        <v>0.35442768674537228</v>
      </c>
    </row>
    <row r="301" spans="2:9">
      <c r="B301">
        <v>265.55555555555554</v>
      </c>
      <c r="C301">
        <f t="shared" si="8"/>
        <v>510</v>
      </c>
      <c r="I301">
        <v>0.40477415028044678</v>
      </c>
    </row>
    <row r="302" spans="2:9">
      <c r="B302">
        <v>298.88888888888886</v>
      </c>
      <c r="C302">
        <f t="shared" si="8"/>
        <v>570</v>
      </c>
      <c r="I302">
        <v>0.35959085428411924</v>
      </c>
    </row>
    <row r="316" spans="1:3">
      <c r="A316" t="str">
        <f>A79</f>
        <v>5,5</v>
      </c>
      <c r="B316">
        <f>B79</f>
        <v>75</v>
      </c>
      <c r="C316" s="47">
        <f>E79</f>
        <v>0.22264067675268281</v>
      </c>
    </row>
    <row r="317" spans="1:3">
      <c r="A317" t="str">
        <f t="shared" ref="A317:A380" si="9">A80</f>
        <v>5,5</v>
      </c>
      <c r="B317">
        <f t="shared" ref="B317:B380" si="10">B80</f>
        <v>75</v>
      </c>
      <c r="C317" s="47">
        <f t="shared" ref="C317:C380" si="11">E80</f>
        <v>0.21157373068965027</v>
      </c>
    </row>
    <row r="318" spans="1:3">
      <c r="A318" t="str">
        <f t="shared" si="9"/>
        <v>5,5</v>
      </c>
      <c r="B318">
        <f t="shared" si="10"/>
        <v>75</v>
      </c>
      <c r="C318" s="47">
        <f t="shared" si="11"/>
        <v>0.20727047644881424</v>
      </c>
    </row>
    <row r="319" spans="1:3">
      <c r="A319" t="str">
        <f t="shared" si="9"/>
        <v>10,10</v>
      </c>
      <c r="B319">
        <f t="shared" si="10"/>
        <v>75</v>
      </c>
      <c r="C319" s="47">
        <f t="shared" si="11"/>
        <v>0.10645294205982932</v>
      </c>
    </row>
    <row r="320" spans="1:3">
      <c r="A320" t="str">
        <f t="shared" si="9"/>
        <v>10,10</v>
      </c>
      <c r="B320">
        <f t="shared" si="10"/>
        <v>75</v>
      </c>
      <c r="C320" s="47">
        <f t="shared" si="11"/>
        <v>0.10606909252683047</v>
      </c>
    </row>
    <row r="321" spans="1:3">
      <c r="A321" t="str">
        <f t="shared" si="9"/>
        <v>10,10</v>
      </c>
      <c r="B321">
        <f t="shared" si="10"/>
        <v>75</v>
      </c>
      <c r="C321" s="47">
        <f t="shared" si="11"/>
        <v>9.6475063975326722E-2</v>
      </c>
    </row>
    <row r="322" spans="1:3">
      <c r="A322" t="str">
        <f t="shared" si="9"/>
        <v>10,5</v>
      </c>
      <c r="B322">
        <f t="shared" si="10"/>
        <v>75</v>
      </c>
      <c r="C322" s="47">
        <f t="shared" si="11"/>
        <v>0.15770068717951669</v>
      </c>
    </row>
    <row r="323" spans="1:3">
      <c r="A323" t="str">
        <f t="shared" si="9"/>
        <v>10,5</v>
      </c>
      <c r="B323">
        <f t="shared" si="10"/>
        <v>75</v>
      </c>
      <c r="C323" s="47">
        <f t="shared" si="11"/>
        <v>0.1546600804358455</v>
      </c>
    </row>
    <row r="324" spans="1:3">
      <c r="A324" t="str">
        <f t="shared" si="9"/>
        <v>10,5</v>
      </c>
      <c r="B324">
        <f t="shared" si="10"/>
        <v>75</v>
      </c>
      <c r="C324" s="47">
        <f t="shared" si="11"/>
        <v>0.15306842564244846</v>
      </c>
    </row>
    <row r="325" spans="1:3">
      <c r="A325" t="str">
        <f t="shared" si="9"/>
        <v>15,10</v>
      </c>
      <c r="B325">
        <f t="shared" si="10"/>
        <v>75</v>
      </c>
      <c r="C325" s="47"/>
    </row>
    <row r="326" spans="1:3">
      <c r="A326" t="str">
        <f t="shared" si="9"/>
        <v>15,10</v>
      </c>
      <c r="B326">
        <f t="shared" si="10"/>
        <v>75</v>
      </c>
      <c r="C326" s="47"/>
    </row>
    <row r="327" spans="1:3">
      <c r="A327" t="str">
        <f t="shared" si="9"/>
        <v>15,10</v>
      </c>
      <c r="B327">
        <f t="shared" si="10"/>
        <v>75</v>
      </c>
      <c r="C327" s="47"/>
    </row>
    <row r="328" spans="1:3">
      <c r="A328" t="str">
        <f t="shared" si="9"/>
        <v>15,5</v>
      </c>
      <c r="B328">
        <f t="shared" si="10"/>
        <v>75</v>
      </c>
      <c r="C328" s="47"/>
    </row>
    <row r="329" spans="1:3">
      <c r="A329" t="str">
        <f t="shared" si="9"/>
        <v>15,5</v>
      </c>
      <c r="B329">
        <f t="shared" si="10"/>
        <v>75</v>
      </c>
      <c r="C329" s="47"/>
    </row>
    <row r="330" spans="1:3">
      <c r="A330" t="str">
        <f t="shared" si="9"/>
        <v>15,5</v>
      </c>
      <c r="B330">
        <f t="shared" si="10"/>
        <v>75</v>
      </c>
      <c r="C330" s="47"/>
    </row>
    <row r="331" spans="1:3">
      <c r="A331" t="str">
        <f t="shared" si="9"/>
        <v>7.5,5</v>
      </c>
      <c r="B331">
        <f t="shared" si="10"/>
        <v>75</v>
      </c>
      <c r="C331" s="47">
        <f t="shared" si="11"/>
        <v>0.18767088058710801</v>
      </c>
    </row>
    <row r="332" spans="1:3">
      <c r="A332" t="str">
        <f t="shared" si="9"/>
        <v>7.5,5</v>
      </c>
      <c r="B332">
        <f t="shared" si="10"/>
        <v>75</v>
      </c>
      <c r="C332" s="47">
        <f t="shared" si="11"/>
        <v>0.18090982764799293</v>
      </c>
    </row>
    <row r="333" spans="1:3">
      <c r="A333" t="str">
        <f t="shared" si="9"/>
        <v>7.5,5</v>
      </c>
      <c r="B333">
        <f t="shared" si="10"/>
        <v>75</v>
      </c>
      <c r="C333" s="47">
        <f t="shared" si="11"/>
        <v>0.17815029963369627</v>
      </c>
    </row>
    <row r="334" spans="1:3">
      <c r="A334">
        <f t="shared" si="9"/>
        <v>0</v>
      </c>
      <c r="C334" s="47"/>
    </row>
    <row r="335" spans="1:3">
      <c r="A335" t="str">
        <f t="shared" si="9"/>
        <v>5,5</v>
      </c>
      <c r="B335">
        <f t="shared" si="10"/>
        <v>100</v>
      </c>
      <c r="C335" s="47">
        <f t="shared" si="11"/>
        <v>0.30254046986594146</v>
      </c>
    </row>
    <row r="336" spans="1:3">
      <c r="A336" t="str">
        <f t="shared" si="9"/>
        <v>5,5</v>
      </c>
      <c r="B336">
        <f t="shared" si="10"/>
        <v>100</v>
      </c>
      <c r="C336" s="47">
        <f t="shared" si="11"/>
        <v>0.30240016605229569</v>
      </c>
    </row>
    <row r="337" spans="1:3">
      <c r="A337" t="str">
        <f t="shared" si="9"/>
        <v>5,5</v>
      </c>
      <c r="B337">
        <f t="shared" si="10"/>
        <v>100</v>
      </c>
      <c r="C337" s="47">
        <f t="shared" si="11"/>
        <v>0.29981245797129041</v>
      </c>
    </row>
    <row r="338" spans="1:3">
      <c r="A338" t="str">
        <f t="shared" si="9"/>
        <v>5,15</v>
      </c>
      <c r="B338">
        <f t="shared" si="10"/>
        <v>100</v>
      </c>
      <c r="C338" s="47">
        <f t="shared" si="11"/>
        <v>0.18412600712712873</v>
      </c>
    </row>
    <row r="339" spans="1:3">
      <c r="A339" t="str">
        <f t="shared" si="9"/>
        <v>5,15</v>
      </c>
      <c r="B339">
        <f t="shared" si="10"/>
        <v>100</v>
      </c>
      <c r="C339" s="47">
        <f t="shared" si="11"/>
        <v>0.1793218030709805</v>
      </c>
    </row>
    <row r="340" spans="1:3">
      <c r="A340" t="str">
        <f t="shared" si="9"/>
        <v>5,15</v>
      </c>
      <c r="B340">
        <f t="shared" si="10"/>
        <v>100</v>
      </c>
      <c r="C340" s="47">
        <f t="shared" si="11"/>
        <v>0.17805869856106282</v>
      </c>
    </row>
    <row r="341" spans="1:3">
      <c r="A341" t="str">
        <f t="shared" si="9"/>
        <v>5,10</v>
      </c>
      <c r="B341">
        <f t="shared" si="10"/>
        <v>100</v>
      </c>
      <c r="C341" s="47">
        <f t="shared" si="11"/>
        <v>0.24153604064167433</v>
      </c>
    </row>
    <row r="342" spans="1:3">
      <c r="A342" t="str">
        <f t="shared" si="9"/>
        <v>5,10</v>
      </c>
      <c r="B342">
        <f t="shared" si="10"/>
        <v>100</v>
      </c>
      <c r="C342" s="47">
        <f t="shared" si="11"/>
        <v>0.24152175368168313</v>
      </c>
    </row>
    <row r="343" spans="1:3">
      <c r="A343" t="str">
        <f t="shared" si="9"/>
        <v>5,10</v>
      </c>
      <c r="B343">
        <f t="shared" si="10"/>
        <v>100</v>
      </c>
      <c r="C343" s="47">
        <f t="shared" si="11"/>
        <v>0.23961379410924372</v>
      </c>
    </row>
    <row r="344" spans="1:3">
      <c r="A344" t="str">
        <f t="shared" si="9"/>
        <v>10,15</v>
      </c>
      <c r="B344">
        <f t="shared" si="10"/>
        <v>100</v>
      </c>
      <c r="C344" s="47">
        <f t="shared" si="11"/>
        <v>0.15617108987320455</v>
      </c>
    </row>
    <row r="345" spans="1:3">
      <c r="A345" t="str">
        <f t="shared" si="9"/>
        <v>10,15</v>
      </c>
      <c r="B345">
        <f t="shared" si="10"/>
        <v>100</v>
      </c>
      <c r="C345" s="47">
        <f t="shared" si="11"/>
        <v>0.15571578854316842</v>
      </c>
    </row>
    <row r="346" spans="1:3">
      <c r="A346" t="str">
        <f t="shared" si="9"/>
        <v>10,15</v>
      </c>
      <c r="B346">
        <f t="shared" si="10"/>
        <v>100</v>
      </c>
      <c r="C346" s="47">
        <f t="shared" si="11"/>
        <v>0.14612449368095681</v>
      </c>
    </row>
    <row r="347" spans="1:3">
      <c r="A347" t="str">
        <f t="shared" si="9"/>
        <v>10,10</v>
      </c>
      <c r="B347">
        <f t="shared" si="10"/>
        <v>100</v>
      </c>
      <c r="C347" s="47">
        <f t="shared" si="11"/>
        <v>0.21729963909267136</v>
      </c>
    </row>
    <row r="348" spans="1:3">
      <c r="A348" t="str">
        <f t="shared" si="9"/>
        <v>10,10</v>
      </c>
      <c r="B348">
        <f t="shared" si="10"/>
        <v>100</v>
      </c>
      <c r="C348" s="47">
        <f t="shared" si="11"/>
        <v>0.18786546339528892</v>
      </c>
    </row>
    <row r="349" spans="1:3">
      <c r="A349" t="str">
        <f t="shared" si="9"/>
        <v>10,10</v>
      </c>
      <c r="B349">
        <f t="shared" si="10"/>
        <v>100</v>
      </c>
      <c r="C349" s="47">
        <f t="shared" si="11"/>
        <v>0.18633722505978306</v>
      </c>
    </row>
    <row r="350" spans="1:3">
      <c r="A350" t="str">
        <f t="shared" si="9"/>
        <v>10,20</v>
      </c>
      <c r="B350">
        <f t="shared" si="10"/>
        <v>100</v>
      </c>
      <c r="C350" s="47"/>
    </row>
    <row r="351" spans="1:3">
      <c r="A351" t="str">
        <f t="shared" si="9"/>
        <v>10,20</v>
      </c>
      <c r="B351">
        <f t="shared" si="10"/>
        <v>100</v>
      </c>
      <c r="C351" s="47"/>
    </row>
    <row r="352" spans="1:3">
      <c r="A352" t="str">
        <f t="shared" si="9"/>
        <v>10,20</v>
      </c>
      <c r="B352">
        <f t="shared" si="10"/>
        <v>100</v>
      </c>
      <c r="C352" s="47"/>
    </row>
    <row r="353" spans="1:3">
      <c r="A353">
        <f t="shared" si="9"/>
        <v>0</v>
      </c>
      <c r="C353" s="47"/>
    </row>
    <row r="354" spans="1:3">
      <c r="A354" t="str">
        <f t="shared" si="9"/>
        <v>5,10</v>
      </c>
      <c r="B354">
        <f t="shared" si="10"/>
        <v>125</v>
      </c>
      <c r="C354" s="47">
        <f t="shared" si="11"/>
        <v>0.36549425044885725</v>
      </c>
    </row>
    <row r="355" spans="1:3">
      <c r="A355" t="str">
        <f t="shared" si="9"/>
        <v>5,10</v>
      </c>
      <c r="B355">
        <f t="shared" si="10"/>
        <v>125</v>
      </c>
      <c r="C355" s="47">
        <f t="shared" si="11"/>
        <v>0.36541854763363446</v>
      </c>
    </row>
    <row r="356" spans="1:3">
      <c r="A356" t="str">
        <f t="shared" si="9"/>
        <v>5,10</v>
      </c>
      <c r="B356">
        <f t="shared" si="10"/>
        <v>125</v>
      </c>
      <c r="C356" s="47">
        <f t="shared" si="11"/>
        <v>0.36262691972931738</v>
      </c>
    </row>
    <row r="357" spans="1:3">
      <c r="A357" t="str">
        <f t="shared" si="9"/>
        <v>5,15</v>
      </c>
      <c r="B357">
        <f t="shared" si="10"/>
        <v>125</v>
      </c>
      <c r="C357" s="47">
        <f t="shared" si="11"/>
        <v>0.31640230354493842</v>
      </c>
    </row>
    <row r="358" spans="1:3">
      <c r="A358" t="str">
        <f t="shared" si="9"/>
        <v>5,15</v>
      </c>
      <c r="B358">
        <f t="shared" si="10"/>
        <v>125</v>
      </c>
      <c r="C358" s="47">
        <f t="shared" si="11"/>
        <v>0.31572101612721343</v>
      </c>
    </row>
    <row r="359" spans="1:3">
      <c r="A359" t="str">
        <f t="shared" si="9"/>
        <v>5,15</v>
      </c>
      <c r="B359">
        <f t="shared" si="10"/>
        <v>125</v>
      </c>
      <c r="C359" s="47">
        <f t="shared" si="11"/>
        <v>0.31522672238077748</v>
      </c>
    </row>
    <row r="360" spans="1:3">
      <c r="A360" t="str">
        <f t="shared" si="9"/>
        <v>10,20</v>
      </c>
      <c r="B360">
        <f t="shared" si="10"/>
        <v>125</v>
      </c>
      <c r="C360" s="47"/>
    </row>
    <row r="361" spans="1:3">
      <c r="A361" t="str">
        <f t="shared" si="9"/>
        <v>10,20</v>
      </c>
      <c r="B361">
        <f t="shared" si="10"/>
        <v>125</v>
      </c>
      <c r="C361" s="47"/>
    </row>
    <row r="362" spans="1:3">
      <c r="A362" t="str">
        <f t="shared" si="9"/>
        <v>10,20</v>
      </c>
      <c r="B362">
        <f t="shared" si="10"/>
        <v>125</v>
      </c>
      <c r="C362" s="47"/>
    </row>
    <row r="363" spans="1:3">
      <c r="A363" t="str">
        <f t="shared" si="9"/>
        <v>10,15</v>
      </c>
      <c r="B363">
        <f t="shared" si="10"/>
        <v>125</v>
      </c>
      <c r="C363" s="47">
        <f t="shared" si="11"/>
        <v>0.29035143416247294</v>
      </c>
    </row>
    <row r="364" spans="1:3">
      <c r="A364" t="str">
        <f t="shared" si="9"/>
        <v>10,15</v>
      </c>
      <c r="B364">
        <f t="shared" si="10"/>
        <v>125</v>
      </c>
      <c r="C364" s="47">
        <f t="shared" si="11"/>
        <v>0.29028685380494901</v>
      </c>
    </row>
    <row r="365" spans="1:3">
      <c r="A365" t="str">
        <f t="shared" si="9"/>
        <v>10,15</v>
      </c>
      <c r="B365">
        <f t="shared" si="10"/>
        <v>125</v>
      </c>
      <c r="C365" s="47">
        <f t="shared" si="11"/>
        <v>0.28786389275399071</v>
      </c>
    </row>
    <row r="366" spans="1:3">
      <c r="A366" t="str">
        <f t="shared" si="9"/>
        <v>10,10</v>
      </c>
      <c r="B366">
        <f t="shared" si="10"/>
        <v>125</v>
      </c>
      <c r="C366" s="47">
        <f t="shared" si="11"/>
        <v>0.33733341563015673</v>
      </c>
    </row>
    <row r="367" spans="1:3">
      <c r="A367" t="str">
        <f t="shared" si="9"/>
        <v>10,10</v>
      </c>
      <c r="B367">
        <f t="shared" si="10"/>
        <v>125</v>
      </c>
      <c r="C367" s="47">
        <f t="shared" si="11"/>
        <v>0.33651845828956578</v>
      </c>
    </row>
    <row r="368" spans="1:3">
      <c r="A368" t="str">
        <f t="shared" si="9"/>
        <v>10,10</v>
      </c>
      <c r="B368">
        <f t="shared" si="10"/>
        <v>125</v>
      </c>
      <c r="C368" s="47">
        <f t="shared" si="11"/>
        <v>0.3363680608658573</v>
      </c>
    </row>
    <row r="369" spans="1:3">
      <c r="A369" t="str">
        <f t="shared" si="9"/>
        <v>15,20</v>
      </c>
      <c r="B369">
        <f t="shared" si="10"/>
        <v>125</v>
      </c>
      <c r="C369" s="47"/>
    </row>
    <row r="370" spans="1:3">
      <c r="A370" t="str">
        <f t="shared" si="9"/>
        <v>15,20</v>
      </c>
      <c r="B370">
        <f t="shared" si="10"/>
        <v>125</v>
      </c>
      <c r="C370" s="47"/>
    </row>
    <row r="371" spans="1:3">
      <c r="A371" t="str">
        <f t="shared" si="9"/>
        <v>15,20</v>
      </c>
      <c r="B371">
        <f t="shared" si="10"/>
        <v>125</v>
      </c>
      <c r="C371" s="47"/>
    </row>
    <row r="372" spans="1:3">
      <c r="A372">
        <f t="shared" si="9"/>
        <v>0</v>
      </c>
      <c r="C372" s="47"/>
    </row>
    <row r="373" spans="1:3">
      <c r="A373" t="str">
        <f t="shared" si="9"/>
        <v>5,5</v>
      </c>
      <c r="B373">
        <f t="shared" si="10"/>
        <v>150</v>
      </c>
      <c r="C373" s="47">
        <f t="shared" si="11"/>
        <v>0.4979425636377745</v>
      </c>
    </row>
    <row r="374" spans="1:3">
      <c r="A374" t="str">
        <f t="shared" si="9"/>
        <v>5,5</v>
      </c>
      <c r="B374">
        <f t="shared" si="10"/>
        <v>150</v>
      </c>
      <c r="C374" s="47">
        <f t="shared" si="11"/>
        <v>0.49778452676445917</v>
      </c>
    </row>
    <row r="375" spans="1:3">
      <c r="A375" t="str">
        <f t="shared" si="9"/>
        <v>5,5</v>
      </c>
      <c r="B375">
        <f t="shared" si="10"/>
        <v>150</v>
      </c>
      <c r="C375" s="47">
        <f t="shared" si="11"/>
        <v>0.49735610899122085</v>
      </c>
    </row>
    <row r="376" spans="1:3">
      <c r="A376" t="str">
        <f t="shared" si="9"/>
        <v>5,10</v>
      </c>
      <c r="B376">
        <f t="shared" si="10"/>
        <v>150</v>
      </c>
      <c r="C376" s="47">
        <f t="shared" si="11"/>
        <v>0.45125041402020727</v>
      </c>
    </row>
    <row r="377" spans="1:3">
      <c r="A377" t="str">
        <f t="shared" si="9"/>
        <v>5,10</v>
      </c>
      <c r="B377">
        <f t="shared" si="10"/>
        <v>150</v>
      </c>
      <c r="C377" s="47">
        <f t="shared" si="11"/>
        <v>0.4510674736612254</v>
      </c>
    </row>
    <row r="378" spans="1:3">
      <c r="A378" t="str">
        <f t="shared" si="9"/>
        <v>5,10</v>
      </c>
      <c r="B378">
        <f t="shared" si="10"/>
        <v>150</v>
      </c>
      <c r="C378" s="47">
        <f t="shared" si="11"/>
        <v>0.45098851621656944</v>
      </c>
    </row>
    <row r="379" spans="1:3">
      <c r="A379" t="str">
        <f t="shared" si="9"/>
        <v>5,15</v>
      </c>
      <c r="B379">
        <f t="shared" si="10"/>
        <v>150</v>
      </c>
      <c r="C379" s="47">
        <f t="shared" si="11"/>
        <v>0.40610463593942026</v>
      </c>
    </row>
    <row r="380" spans="1:3">
      <c r="A380" t="str">
        <f t="shared" si="9"/>
        <v>5,15</v>
      </c>
      <c r="B380">
        <f t="shared" si="10"/>
        <v>150</v>
      </c>
      <c r="C380" s="47">
        <f t="shared" si="11"/>
        <v>0.4055371564022594</v>
      </c>
    </row>
    <row r="381" spans="1:3">
      <c r="A381" t="str">
        <f t="shared" ref="A381:A444" si="12">A144</f>
        <v>5,15</v>
      </c>
      <c r="B381">
        <f t="shared" ref="B381:B444" si="13">B144</f>
        <v>150</v>
      </c>
      <c r="C381" s="47">
        <f t="shared" ref="C381:C437" si="14">E144</f>
        <v>0.40527211085580789</v>
      </c>
    </row>
    <row r="382" spans="1:3">
      <c r="A382" t="str">
        <f t="shared" si="12"/>
        <v>10,10</v>
      </c>
      <c r="B382">
        <f t="shared" si="13"/>
        <v>150</v>
      </c>
      <c r="C382" s="47">
        <f t="shared" si="14"/>
        <v>0.43223872794374951</v>
      </c>
    </row>
    <row r="383" spans="1:3">
      <c r="A383" t="str">
        <f t="shared" si="12"/>
        <v>10,10</v>
      </c>
      <c r="B383">
        <f t="shared" si="13"/>
        <v>150</v>
      </c>
      <c r="C383" s="47">
        <f t="shared" si="14"/>
        <v>0.43205352104328437</v>
      </c>
    </row>
    <row r="384" spans="1:3">
      <c r="A384" t="str">
        <f t="shared" si="12"/>
        <v>10,10</v>
      </c>
      <c r="B384">
        <f t="shared" si="13"/>
        <v>150</v>
      </c>
      <c r="C384" s="47">
        <f t="shared" si="14"/>
        <v>0.43203346566948136</v>
      </c>
    </row>
    <row r="385" spans="1:3">
      <c r="A385" t="str">
        <f t="shared" si="12"/>
        <v>10,15</v>
      </c>
      <c r="B385">
        <f t="shared" si="13"/>
        <v>150</v>
      </c>
      <c r="C385" s="47">
        <f t="shared" si="14"/>
        <v>0.38533807525868435</v>
      </c>
    </row>
    <row r="386" spans="1:3">
      <c r="A386" t="str">
        <f t="shared" si="12"/>
        <v>10,15</v>
      </c>
      <c r="B386">
        <f t="shared" si="13"/>
        <v>150</v>
      </c>
      <c r="C386" s="47">
        <f t="shared" si="14"/>
        <v>0.38525230221823825</v>
      </c>
    </row>
    <row r="387" spans="1:3">
      <c r="A387" t="str">
        <f t="shared" si="12"/>
        <v>10,15</v>
      </c>
      <c r="B387">
        <f t="shared" si="13"/>
        <v>150</v>
      </c>
      <c r="C387" s="47">
        <f t="shared" si="14"/>
        <v>0.38484158092130943</v>
      </c>
    </row>
    <row r="388" spans="1:3">
      <c r="A388" t="str">
        <f t="shared" si="12"/>
        <v>10,20</v>
      </c>
      <c r="B388">
        <f t="shared" si="13"/>
        <v>150</v>
      </c>
      <c r="C388" s="47">
        <f t="shared" si="14"/>
        <v>0.34039196601109661</v>
      </c>
    </row>
    <row r="389" spans="1:3">
      <c r="A389" t="str">
        <f t="shared" si="12"/>
        <v>10,20</v>
      </c>
      <c r="B389">
        <f t="shared" si="13"/>
        <v>150</v>
      </c>
      <c r="C389" s="47">
        <f t="shared" si="14"/>
        <v>0.33495587574260177</v>
      </c>
    </row>
    <row r="390" spans="1:3">
      <c r="A390" t="str">
        <f t="shared" si="12"/>
        <v>10,20</v>
      </c>
      <c r="B390">
        <f t="shared" si="13"/>
        <v>150</v>
      </c>
      <c r="C390" s="47">
        <f t="shared" si="14"/>
        <v>0.29189760968122913</v>
      </c>
    </row>
    <row r="391" spans="1:3">
      <c r="A391" t="str">
        <f t="shared" si="12"/>
        <v>10,25</v>
      </c>
      <c r="B391">
        <f t="shared" si="13"/>
        <v>150</v>
      </c>
      <c r="C391" s="47"/>
    </row>
    <row r="392" spans="1:3">
      <c r="A392" t="str">
        <f t="shared" si="12"/>
        <v>10,25</v>
      </c>
      <c r="B392">
        <f t="shared" si="13"/>
        <v>150</v>
      </c>
      <c r="C392" s="47"/>
    </row>
    <row r="393" spans="1:3">
      <c r="A393" t="str">
        <f t="shared" si="12"/>
        <v>10,25</v>
      </c>
      <c r="B393">
        <f t="shared" si="13"/>
        <v>150</v>
      </c>
      <c r="C393" s="47"/>
    </row>
    <row r="394" spans="1:3">
      <c r="A394" t="str">
        <f t="shared" si="12"/>
        <v>15,20</v>
      </c>
      <c r="B394">
        <f t="shared" si="13"/>
        <v>150</v>
      </c>
      <c r="C394" s="47"/>
    </row>
    <row r="395" spans="1:3">
      <c r="A395" t="str">
        <f t="shared" si="12"/>
        <v>15,20</v>
      </c>
      <c r="B395">
        <f t="shared" si="13"/>
        <v>150</v>
      </c>
      <c r="C395" s="47"/>
    </row>
    <row r="396" spans="1:3">
      <c r="A396" t="str">
        <f t="shared" si="12"/>
        <v>15,20</v>
      </c>
      <c r="B396">
        <f t="shared" si="13"/>
        <v>150</v>
      </c>
      <c r="C396" s="47"/>
    </row>
    <row r="397" spans="1:3">
      <c r="A397" t="str">
        <f t="shared" si="12"/>
        <v>20,20</v>
      </c>
      <c r="B397">
        <f t="shared" si="13"/>
        <v>150</v>
      </c>
      <c r="C397" s="47"/>
    </row>
    <row r="398" spans="1:3">
      <c r="A398" t="str">
        <f t="shared" si="12"/>
        <v>20,20</v>
      </c>
      <c r="B398">
        <f t="shared" si="13"/>
        <v>150</v>
      </c>
      <c r="C398" s="47"/>
    </row>
    <row r="399" spans="1:3">
      <c r="A399" t="str">
        <f t="shared" si="12"/>
        <v>20,20</v>
      </c>
      <c r="B399">
        <f t="shared" si="13"/>
        <v>150</v>
      </c>
      <c r="C399" s="47"/>
    </row>
    <row r="400" spans="1:3">
      <c r="A400">
        <f t="shared" si="12"/>
        <v>0</v>
      </c>
      <c r="C400" s="47"/>
    </row>
    <row r="401" spans="1:3">
      <c r="A401" t="str">
        <f t="shared" si="12"/>
        <v>5,5</v>
      </c>
      <c r="B401">
        <f t="shared" si="13"/>
        <v>175</v>
      </c>
      <c r="C401" s="47">
        <f t="shared" si="14"/>
        <v>0.45227307445180659</v>
      </c>
    </row>
    <row r="402" spans="1:3">
      <c r="A402" t="str">
        <f t="shared" si="12"/>
        <v>5,5</v>
      </c>
      <c r="B402">
        <f t="shared" si="13"/>
        <v>175</v>
      </c>
      <c r="C402" s="47">
        <f t="shared" si="14"/>
        <v>0.45213621709592622</v>
      </c>
    </row>
    <row r="403" spans="1:3">
      <c r="A403" t="str">
        <f t="shared" si="12"/>
        <v>5,5</v>
      </c>
      <c r="B403">
        <f t="shared" si="13"/>
        <v>175</v>
      </c>
      <c r="C403" s="47">
        <f t="shared" si="14"/>
        <v>0.44977400378212856</v>
      </c>
    </row>
    <row r="404" spans="1:3">
      <c r="A404" t="str">
        <f t="shared" si="12"/>
        <v>15,5</v>
      </c>
      <c r="B404">
        <f t="shared" si="13"/>
        <v>175</v>
      </c>
      <c r="C404" s="47">
        <f t="shared" si="14"/>
        <v>0.39854993574581826</v>
      </c>
    </row>
    <row r="405" spans="1:3">
      <c r="A405" t="str">
        <f t="shared" si="12"/>
        <v>15,5</v>
      </c>
      <c r="B405">
        <f t="shared" si="13"/>
        <v>175</v>
      </c>
      <c r="C405" s="47">
        <f t="shared" si="14"/>
        <v>0.39123318429404502</v>
      </c>
    </row>
    <row r="406" spans="1:3">
      <c r="A406" t="str">
        <f t="shared" si="12"/>
        <v>15,5</v>
      </c>
      <c r="B406">
        <f t="shared" si="13"/>
        <v>175</v>
      </c>
      <c r="C406" s="47">
        <f t="shared" si="14"/>
        <v>0.38594170863905886</v>
      </c>
    </row>
    <row r="407" spans="1:3">
      <c r="A407" t="str">
        <f t="shared" si="12"/>
        <v>15,10</v>
      </c>
      <c r="B407">
        <f t="shared" si="13"/>
        <v>175</v>
      </c>
      <c r="C407" s="47">
        <f t="shared" si="14"/>
        <v>0.38704065153641598</v>
      </c>
    </row>
    <row r="408" spans="1:3">
      <c r="A408" t="str">
        <f t="shared" si="12"/>
        <v>15,10</v>
      </c>
      <c r="B408">
        <f t="shared" si="13"/>
        <v>175</v>
      </c>
      <c r="C408" s="47">
        <f t="shared" si="14"/>
        <v>0.36266293745295741</v>
      </c>
    </row>
    <row r="409" spans="1:3">
      <c r="A409" t="str">
        <f t="shared" si="12"/>
        <v>15,10</v>
      </c>
      <c r="B409">
        <f t="shared" si="13"/>
        <v>175</v>
      </c>
      <c r="C409" s="47">
        <f t="shared" si="14"/>
        <v>0.36092493750859117</v>
      </c>
    </row>
    <row r="410" spans="1:3">
      <c r="A410" t="str">
        <f t="shared" si="12"/>
        <v>10,5</v>
      </c>
      <c r="B410">
        <f t="shared" si="13"/>
        <v>175</v>
      </c>
      <c r="C410" s="47">
        <f t="shared" si="14"/>
        <v>0.42072796090153575</v>
      </c>
    </row>
    <row r="411" spans="1:3">
      <c r="A411" t="str">
        <f t="shared" si="12"/>
        <v>10,5</v>
      </c>
      <c r="B411">
        <f t="shared" si="13"/>
        <v>175</v>
      </c>
      <c r="C411" s="47">
        <f t="shared" si="14"/>
        <v>0.41462745677336116</v>
      </c>
    </row>
    <row r="412" spans="1:3">
      <c r="A412" t="str">
        <f t="shared" si="12"/>
        <v>10,5</v>
      </c>
      <c r="B412">
        <f t="shared" si="13"/>
        <v>175</v>
      </c>
      <c r="C412" s="47">
        <f t="shared" si="14"/>
        <v>0.41246719875827204</v>
      </c>
    </row>
    <row r="413" spans="1:3">
      <c r="A413" t="str">
        <f t="shared" si="12"/>
        <v>10,10</v>
      </c>
      <c r="B413">
        <f t="shared" si="13"/>
        <v>175</v>
      </c>
      <c r="C413" s="47">
        <f t="shared" si="14"/>
        <v>0.41223112898908509</v>
      </c>
    </row>
    <row r="414" spans="1:3">
      <c r="A414" t="str">
        <f t="shared" si="12"/>
        <v>10,10</v>
      </c>
      <c r="B414">
        <f t="shared" si="13"/>
        <v>175</v>
      </c>
      <c r="C414" s="47">
        <f t="shared" si="14"/>
        <v>0.39976591237434178</v>
      </c>
    </row>
    <row r="415" spans="1:3">
      <c r="A415" t="str">
        <f t="shared" si="12"/>
        <v>10,10</v>
      </c>
      <c r="B415">
        <f t="shared" si="13"/>
        <v>175</v>
      </c>
      <c r="C415" s="47">
        <f t="shared" si="14"/>
        <v>0.39649987528699993</v>
      </c>
    </row>
    <row r="416" spans="1:3">
      <c r="A416" t="str">
        <f t="shared" si="12"/>
        <v>20,5</v>
      </c>
      <c r="B416">
        <f t="shared" si="13"/>
        <v>175</v>
      </c>
      <c r="C416" s="47"/>
    </row>
    <row r="417" spans="1:3">
      <c r="A417" t="str">
        <f t="shared" si="12"/>
        <v>20,5</v>
      </c>
      <c r="B417">
        <f t="shared" si="13"/>
        <v>175</v>
      </c>
      <c r="C417" s="47"/>
    </row>
    <row r="418" spans="1:3">
      <c r="A418" t="str">
        <f t="shared" si="12"/>
        <v>20,5</v>
      </c>
      <c r="B418">
        <f t="shared" si="13"/>
        <v>175</v>
      </c>
      <c r="C418" s="47"/>
    </row>
    <row r="419" spans="1:3">
      <c r="A419" t="str">
        <f t="shared" si="12"/>
        <v>20,10</v>
      </c>
      <c r="B419">
        <f t="shared" si="13"/>
        <v>175</v>
      </c>
      <c r="C419" s="47"/>
    </row>
    <row r="420" spans="1:3">
      <c r="A420" t="str">
        <f t="shared" si="12"/>
        <v>20,10</v>
      </c>
      <c r="B420">
        <f t="shared" si="13"/>
        <v>175</v>
      </c>
      <c r="C420" s="47"/>
    </row>
    <row r="421" spans="1:3">
      <c r="A421" t="str">
        <f t="shared" si="12"/>
        <v>20,10</v>
      </c>
      <c r="B421">
        <f t="shared" si="13"/>
        <v>175</v>
      </c>
      <c r="C421" s="47"/>
    </row>
    <row r="422" spans="1:3">
      <c r="A422" t="str">
        <f t="shared" si="12"/>
        <v>25,10</v>
      </c>
      <c r="B422">
        <f t="shared" si="13"/>
        <v>175</v>
      </c>
      <c r="C422" s="47"/>
    </row>
    <row r="423" spans="1:3">
      <c r="A423" t="str">
        <f t="shared" si="12"/>
        <v>25,10</v>
      </c>
      <c r="B423">
        <f t="shared" si="13"/>
        <v>175</v>
      </c>
      <c r="C423" s="47"/>
    </row>
    <row r="424" spans="1:3">
      <c r="A424" t="str">
        <f t="shared" si="12"/>
        <v>25,10</v>
      </c>
      <c r="B424">
        <f t="shared" si="13"/>
        <v>175</v>
      </c>
      <c r="C424" s="47"/>
    </row>
    <row r="425" spans="1:3">
      <c r="A425" t="str">
        <f t="shared" si="12"/>
        <v>30,15</v>
      </c>
      <c r="B425">
        <f t="shared" si="13"/>
        <v>175</v>
      </c>
      <c r="C425" s="47"/>
    </row>
    <row r="426" spans="1:3">
      <c r="A426" t="str">
        <f t="shared" si="12"/>
        <v>30,15</v>
      </c>
      <c r="B426">
        <f t="shared" si="13"/>
        <v>175</v>
      </c>
      <c r="C426" s="47"/>
    </row>
    <row r="427" spans="1:3">
      <c r="A427" t="str">
        <f t="shared" si="12"/>
        <v>30,15</v>
      </c>
      <c r="B427">
        <f t="shared" si="13"/>
        <v>175</v>
      </c>
      <c r="C427" s="47"/>
    </row>
    <row r="428" spans="1:3">
      <c r="A428">
        <f t="shared" si="12"/>
        <v>0</v>
      </c>
      <c r="C428" s="47"/>
    </row>
    <row r="429" spans="1:3">
      <c r="A429" t="str">
        <f t="shared" si="12"/>
        <v>5,5</v>
      </c>
      <c r="B429">
        <f t="shared" si="13"/>
        <v>200</v>
      </c>
      <c r="C429" s="47">
        <f t="shared" si="14"/>
        <v>0.47504745705224377</v>
      </c>
    </row>
    <row r="430" spans="1:3">
      <c r="A430" t="str">
        <f t="shared" si="12"/>
        <v>5,5</v>
      </c>
      <c r="B430">
        <f t="shared" si="13"/>
        <v>200</v>
      </c>
      <c r="C430" s="47">
        <f t="shared" si="14"/>
        <v>0.47493239322967945</v>
      </c>
    </row>
    <row r="431" spans="1:3">
      <c r="A431" t="str">
        <f t="shared" si="12"/>
        <v>5,5</v>
      </c>
      <c r="B431">
        <f t="shared" si="13"/>
        <v>200</v>
      </c>
      <c r="C431" s="47">
        <f t="shared" si="14"/>
        <v>0.47380200065938144</v>
      </c>
    </row>
    <row r="432" spans="1:3">
      <c r="A432" t="str">
        <f t="shared" si="12"/>
        <v>5,10</v>
      </c>
      <c r="B432">
        <f t="shared" si="13"/>
        <v>200</v>
      </c>
      <c r="C432" s="47">
        <f t="shared" si="14"/>
        <v>0.45159456699205092</v>
      </c>
    </row>
    <row r="433" spans="1:3">
      <c r="A433" t="str">
        <f t="shared" si="12"/>
        <v>5,10</v>
      </c>
      <c r="B433">
        <f t="shared" si="13"/>
        <v>200</v>
      </c>
      <c r="C433" s="47">
        <f t="shared" si="14"/>
        <v>0.44985131877078843</v>
      </c>
    </row>
    <row r="434" spans="1:3">
      <c r="A434" t="str">
        <f t="shared" si="12"/>
        <v>5,10</v>
      </c>
      <c r="B434">
        <f t="shared" si="13"/>
        <v>200</v>
      </c>
      <c r="C434" s="47">
        <f t="shared" si="14"/>
        <v>0.4497006302265204</v>
      </c>
    </row>
    <row r="435" spans="1:3">
      <c r="A435" t="str">
        <f t="shared" si="12"/>
        <v>5,15</v>
      </c>
      <c r="B435">
        <f t="shared" si="13"/>
        <v>200</v>
      </c>
      <c r="C435" s="47">
        <f t="shared" si="14"/>
        <v>0.43081183283778413</v>
      </c>
    </row>
    <row r="436" spans="1:3">
      <c r="A436" t="str">
        <f t="shared" si="12"/>
        <v>5,15</v>
      </c>
      <c r="B436">
        <f t="shared" si="13"/>
        <v>200</v>
      </c>
      <c r="C436" s="47">
        <f t="shared" si="14"/>
        <v>0.43079050972520788</v>
      </c>
    </row>
    <row r="437" spans="1:3">
      <c r="A437" t="str">
        <f t="shared" si="12"/>
        <v>5,15</v>
      </c>
      <c r="B437">
        <f t="shared" si="13"/>
        <v>200</v>
      </c>
      <c r="C437" s="47">
        <f t="shared" si="14"/>
        <v>0.42972281333028389</v>
      </c>
    </row>
    <row r="438" spans="1:3">
      <c r="A438" t="str">
        <f t="shared" si="12"/>
        <v>5,20</v>
      </c>
      <c r="B438">
        <f t="shared" si="13"/>
        <v>200</v>
      </c>
      <c r="C438" s="47">
        <f t="shared" ref="C438:C451" si="15">E201</f>
        <v>0.40970658987133973</v>
      </c>
    </row>
    <row r="439" spans="1:3">
      <c r="A439" t="str">
        <f t="shared" si="12"/>
        <v>5,20</v>
      </c>
      <c r="B439">
        <f t="shared" si="13"/>
        <v>200</v>
      </c>
      <c r="C439" s="47">
        <f t="shared" si="15"/>
        <v>0.40423435741514291</v>
      </c>
    </row>
    <row r="440" spans="1:3">
      <c r="A440" t="str">
        <f t="shared" si="12"/>
        <v>5,20</v>
      </c>
      <c r="B440">
        <f t="shared" si="13"/>
        <v>200</v>
      </c>
      <c r="C440" s="47">
        <f t="shared" si="15"/>
        <v>0.39346410442244178</v>
      </c>
    </row>
    <row r="441" spans="1:3">
      <c r="A441" t="str">
        <f t="shared" si="12"/>
        <v>10,15</v>
      </c>
      <c r="B441">
        <f t="shared" si="13"/>
        <v>200</v>
      </c>
      <c r="C441" s="47">
        <f t="shared" si="15"/>
        <v>0.42551372895906564</v>
      </c>
    </row>
    <row r="442" spans="1:3">
      <c r="A442" t="str">
        <f t="shared" si="12"/>
        <v>10,15</v>
      </c>
      <c r="B442">
        <f t="shared" si="13"/>
        <v>200</v>
      </c>
      <c r="C442" s="47">
        <f t="shared" si="15"/>
        <v>0.42548420948758364</v>
      </c>
    </row>
    <row r="443" spans="1:3">
      <c r="A443" t="str">
        <f t="shared" si="12"/>
        <v>10,15</v>
      </c>
      <c r="B443">
        <f t="shared" si="13"/>
        <v>200</v>
      </c>
      <c r="C443" s="47">
        <f t="shared" si="15"/>
        <v>0.42462622041874276</v>
      </c>
    </row>
    <row r="444" spans="1:3">
      <c r="A444" t="str">
        <f t="shared" si="12"/>
        <v>10,20</v>
      </c>
      <c r="B444">
        <f t="shared" si="13"/>
        <v>200</v>
      </c>
      <c r="C444" s="47">
        <f t="shared" si="15"/>
        <v>0.40568378755890633</v>
      </c>
    </row>
    <row r="445" spans="1:3">
      <c r="A445" t="str">
        <f t="shared" ref="A445:A508" si="16">A208</f>
        <v>10,20</v>
      </c>
      <c r="B445">
        <f t="shared" ref="B445:B508" si="17">B208</f>
        <v>200</v>
      </c>
      <c r="C445" s="47">
        <f t="shared" si="15"/>
        <v>0.40556860464358357</v>
      </c>
    </row>
    <row r="446" spans="1:3">
      <c r="A446" t="str">
        <f t="shared" si="16"/>
        <v>10,20</v>
      </c>
      <c r="B446">
        <f t="shared" si="17"/>
        <v>200</v>
      </c>
      <c r="C446" s="47">
        <f t="shared" si="15"/>
        <v>0.40484088485061676</v>
      </c>
    </row>
    <row r="447" spans="1:3">
      <c r="A447" t="str">
        <f t="shared" si="16"/>
        <v>10,25</v>
      </c>
      <c r="B447">
        <f t="shared" si="17"/>
        <v>200</v>
      </c>
      <c r="C447" s="47"/>
    </row>
    <row r="448" spans="1:3">
      <c r="A448" t="str">
        <f t="shared" si="16"/>
        <v>10,25</v>
      </c>
      <c r="B448">
        <f t="shared" si="17"/>
        <v>200</v>
      </c>
      <c r="C448" s="47"/>
    </row>
    <row r="449" spans="1:3">
      <c r="A449" t="str">
        <f t="shared" si="16"/>
        <v>10,25</v>
      </c>
      <c r="B449">
        <f t="shared" si="17"/>
        <v>200</v>
      </c>
      <c r="C449" s="47"/>
    </row>
    <row r="450" spans="1:3">
      <c r="A450" t="str">
        <f t="shared" si="16"/>
        <v>15,20</v>
      </c>
      <c r="B450">
        <f t="shared" si="17"/>
        <v>200</v>
      </c>
      <c r="C450" s="47">
        <f t="shared" si="15"/>
        <v>0.39916781895542935</v>
      </c>
    </row>
    <row r="451" spans="1:3">
      <c r="A451" t="str">
        <f t="shared" si="16"/>
        <v>15,20</v>
      </c>
      <c r="B451">
        <f t="shared" si="17"/>
        <v>200</v>
      </c>
      <c r="C451" s="47">
        <f t="shared" si="15"/>
        <v>0.39901193309414379</v>
      </c>
    </row>
    <row r="452" spans="1:3">
      <c r="A452" t="str">
        <f t="shared" si="16"/>
        <v>15,20</v>
      </c>
      <c r="B452">
        <f t="shared" si="17"/>
        <v>200</v>
      </c>
      <c r="C452" s="47">
        <f t="shared" ref="C452" si="18">E215</f>
        <v>0.39892386209676917</v>
      </c>
    </row>
    <row r="453" spans="1:3">
      <c r="A453" t="str">
        <f t="shared" si="16"/>
        <v>15,30</v>
      </c>
      <c r="B453">
        <f t="shared" si="17"/>
        <v>200</v>
      </c>
      <c r="C453" s="47"/>
    </row>
    <row r="454" spans="1:3">
      <c r="A454" t="str">
        <f t="shared" si="16"/>
        <v>15,30</v>
      </c>
      <c r="B454">
        <f t="shared" si="17"/>
        <v>200</v>
      </c>
      <c r="C454" s="47"/>
    </row>
    <row r="455" spans="1:3">
      <c r="A455" t="str">
        <f t="shared" si="16"/>
        <v>15,30</v>
      </c>
      <c r="B455">
        <f t="shared" si="17"/>
        <v>200</v>
      </c>
      <c r="C455" s="47"/>
    </row>
    <row r="456" spans="1:3">
      <c r="A456" t="str">
        <f t="shared" si="16"/>
        <v>20,25</v>
      </c>
      <c r="B456">
        <f t="shared" si="17"/>
        <v>200</v>
      </c>
      <c r="C456" s="47"/>
    </row>
    <row r="457" spans="1:3">
      <c r="A457" t="str">
        <f t="shared" si="16"/>
        <v>20,25</v>
      </c>
      <c r="B457">
        <f t="shared" si="17"/>
        <v>200</v>
      </c>
      <c r="C457" s="47"/>
    </row>
    <row r="458" spans="1:3">
      <c r="A458" t="str">
        <f t="shared" si="16"/>
        <v>20,25</v>
      </c>
      <c r="B458">
        <f t="shared" si="17"/>
        <v>200</v>
      </c>
      <c r="C458" s="47"/>
    </row>
    <row r="459" spans="1:3">
      <c r="A459" t="str">
        <f t="shared" si="16"/>
        <v>20,30</v>
      </c>
      <c r="B459">
        <f t="shared" si="17"/>
        <v>200</v>
      </c>
      <c r="C459" s="47"/>
    </row>
    <row r="460" spans="1:3">
      <c r="A460" t="str">
        <f t="shared" si="16"/>
        <v>20,30</v>
      </c>
      <c r="B460">
        <f t="shared" si="17"/>
        <v>200</v>
      </c>
      <c r="C460" s="47"/>
    </row>
    <row r="461" spans="1:3">
      <c r="A461" t="str">
        <f t="shared" si="16"/>
        <v>20,30</v>
      </c>
      <c r="B461">
        <f t="shared" si="17"/>
        <v>200</v>
      </c>
      <c r="C461" s="47"/>
    </row>
    <row r="462" spans="1:3">
      <c r="A462">
        <f t="shared" si="16"/>
        <v>0</v>
      </c>
      <c r="C462" s="47"/>
    </row>
    <row r="463" spans="1:3">
      <c r="A463" t="str">
        <f t="shared" si="16"/>
        <v>5,5</v>
      </c>
      <c r="B463">
        <f t="shared" si="17"/>
        <v>200</v>
      </c>
      <c r="C463" s="47">
        <f t="shared" ref="C463:C477" si="19">E226</f>
        <v>0.44111936041314354</v>
      </c>
    </row>
    <row r="464" spans="1:3">
      <c r="A464" t="str">
        <f t="shared" si="16"/>
        <v>5,5</v>
      </c>
      <c r="B464">
        <f t="shared" si="17"/>
        <v>200</v>
      </c>
      <c r="C464" s="47">
        <f t="shared" si="19"/>
        <v>0.44030383535629425</v>
      </c>
    </row>
    <row r="465" spans="1:3">
      <c r="A465" t="str">
        <f t="shared" si="16"/>
        <v>5,5</v>
      </c>
      <c r="B465">
        <f t="shared" si="17"/>
        <v>200</v>
      </c>
      <c r="C465" s="47">
        <f t="shared" si="19"/>
        <v>0.44001986645253827</v>
      </c>
    </row>
    <row r="466" spans="1:3">
      <c r="A466" t="str">
        <f t="shared" si="16"/>
        <v>30,30</v>
      </c>
      <c r="B466">
        <f t="shared" si="17"/>
        <v>200</v>
      </c>
      <c r="C466" s="47"/>
    </row>
    <row r="467" spans="1:3">
      <c r="A467" t="str">
        <f t="shared" si="16"/>
        <v>30,30</v>
      </c>
      <c r="B467">
        <f t="shared" si="17"/>
        <v>200</v>
      </c>
      <c r="C467" s="47"/>
    </row>
    <row r="468" spans="1:3">
      <c r="A468" t="str">
        <f t="shared" si="16"/>
        <v>30,30</v>
      </c>
      <c r="B468">
        <f t="shared" si="17"/>
        <v>200</v>
      </c>
      <c r="C468" s="47"/>
    </row>
    <row r="469" spans="1:3">
      <c r="A469" t="str">
        <f t="shared" si="16"/>
        <v>25,25</v>
      </c>
      <c r="B469">
        <f t="shared" si="17"/>
        <v>200</v>
      </c>
      <c r="C469" s="47"/>
    </row>
    <row r="470" spans="1:3">
      <c r="A470" t="str">
        <f t="shared" si="16"/>
        <v>25,25</v>
      </c>
      <c r="B470">
        <f t="shared" si="17"/>
        <v>200</v>
      </c>
      <c r="C470" s="47"/>
    </row>
    <row r="471" spans="1:3">
      <c r="A471" t="str">
        <f t="shared" si="16"/>
        <v>25,25</v>
      </c>
      <c r="B471">
        <f t="shared" si="17"/>
        <v>200</v>
      </c>
      <c r="C471" s="47"/>
    </row>
    <row r="472" spans="1:3">
      <c r="A472" t="str">
        <f t="shared" si="16"/>
        <v>20,20</v>
      </c>
      <c r="B472">
        <f t="shared" si="17"/>
        <v>200</v>
      </c>
      <c r="C472" s="47">
        <f t="shared" si="19"/>
        <v>0.37029115929019579</v>
      </c>
    </row>
    <row r="473" spans="1:3">
      <c r="A473" t="str">
        <f t="shared" si="16"/>
        <v>20,20</v>
      </c>
      <c r="B473">
        <f t="shared" si="17"/>
        <v>200</v>
      </c>
      <c r="C473" s="47">
        <f t="shared" si="19"/>
        <v>0.36966040510941517</v>
      </c>
    </row>
    <row r="474" spans="1:3">
      <c r="A474" t="str">
        <f t="shared" si="16"/>
        <v>20,20</v>
      </c>
      <c r="B474">
        <f t="shared" si="17"/>
        <v>200</v>
      </c>
      <c r="C474" s="47">
        <f t="shared" si="19"/>
        <v>0.369239388764452</v>
      </c>
    </row>
    <row r="475" spans="1:3">
      <c r="A475" t="str">
        <f t="shared" si="16"/>
        <v>15,15</v>
      </c>
      <c r="B475">
        <f t="shared" si="17"/>
        <v>200</v>
      </c>
      <c r="C475" s="47">
        <f t="shared" si="19"/>
        <v>0.39441485330788478</v>
      </c>
    </row>
    <row r="476" spans="1:3">
      <c r="A476" t="str">
        <f t="shared" si="16"/>
        <v>15,15</v>
      </c>
      <c r="B476">
        <f t="shared" si="17"/>
        <v>200</v>
      </c>
      <c r="C476" s="47">
        <f t="shared" si="19"/>
        <v>0.39397272295896479</v>
      </c>
    </row>
    <row r="477" spans="1:3">
      <c r="A477" t="str">
        <f t="shared" si="16"/>
        <v>15,15</v>
      </c>
      <c r="B477">
        <f t="shared" si="17"/>
        <v>200</v>
      </c>
      <c r="C477" s="47">
        <f t="shared" si="19"/>
        <v>0.39303395197735574</v>
      </c>
    </row>
    <row r="478" spans="1:3">
      <c r="A478" t="str">
        <f t="shared" si="16"/>
        <v>10,10</v>
      </c>
      <c r="B478">
        <f t="shared" si="17"/>
        <v>200</v>
      </c>
      <c r="C478" s="47">
        <f t="shared" ref="C478:C480" si="20">E241</f>
        <v>0.41714147124008466</v>
      </c>
    </row>
    <row r="479" spans="1:3">
      <c r="A479" t="str">
        <f t="shared" si="16"/>
        <v>10,10</v>
      </c>
      <c r="B479">
        <f t="shared" si="17"/>
        <v>200</v>
      </c>
      <c r="C479" s="47">
        <f t="shared" si="20"/>
        <v>0.4165761902638892</v>
      </c>
    </row>
    <row r="480" spans="1:3">
      <c r="A480" t="str">
        <f t="shared" si="16"/>
        <v>10,10</v>
      </c>
      <c r="B480">
        <f t="shared" si="17"/>
        <v>200</v>
      </c>
      <c r="C480" s="47">
        <f t="shared" si="20"/>
        <v>0.41635525408444762</v>
      </c>
    </row>
    <row r="481" spans="1:3">
      <c r="A481">
        <f t="shared" si="16"/>
        <v>0</v>
      </c>
      <c r="C481" s="47"/>
    </row>
    <row r="482" spans="1:3">
      <c r="A482" t="str">
        <f t="shared" si="16"/>
        <v>10,10</v>
      </c>
      <c r="B482">
        <f t="shared" si="17"/>
        <v>225</v>
      </c>
      <c r="C482" s="47">
        <f>F245</f>
        <v>0.46119486997732639</v>
      </c>
    </row>
    <row r="483" spans="1:3">
      <c r="A483" t="str">
        <f t="shared" si="16"/>
        <v>10,10</v>
      </c>
      <c r="B483">
        <f t="shared" si="17"/>
        <v>225</v>
      </c>
      <c r="C483" s="47">
        <f t="shared" ref="C483:C499" si="21">F246</f>
        <v>0.46042840437100646</v>
      </c>
    </row>
    <row r="484" spans="1:3">
      <c r="A484" t="str">
        <f t="shared" si="16"/>
        <v>10,10</v>
      </c>
      <c r="B484">
        <f t="shared" si="17"/>
        <v>225</v>
      </c>
      <c r="C484" s="47">
        <f t="shared" si="21"/>
        <v>0.46014233700416224</v>
      </c>
    </row>
    <row r="485" spans="1:3">
      <c r="A485" t="str">
        <f t="shared" si="16"/>
        <v>15,15</v>
      </c>
      <c r="B485">
        <f t="shared" si="17"/>
        <v>225</v>
      </c>
      <c r="C485" s="47">
        <f t="shared" si="21"/>
        <v>0.42808116296895898</v>
      </c>
    </row>
    <row r="486" spans="1:3">
      <c r="A486" t="str">
        <f t="shared" si="16"/>
        <v>15,15</v>
      </c>
      <c r="B486">
        <f t="shared" si="17"/>
        <v>225</v>
      </c>
      <c r="C486" s="47">
        <f t="shared" si="21"/>
        <v>0.42738884131669103</v>
      </c>
    </row>
    <row r="487" spans="1:3">
      <c r="A487" t="str">
        <f t="shared" si="16"/>
        <v>15,15</v>
      </c>
      <c r="B487">
        <f t="shared" si="17"/>
        <v>225</v>
      </c>
      <c r="C487" s="47">
        <f t="shared" si="21"/>
        <v>0.4271259049734662</v>
      </c>
    </row>
    <row r="488" spans="1:3">
      <c r="A488" t="str">
        <f t="shared" si="16"/>
        <v>20,20</v>
      </c>
      <c r="B488">
        <f t="shared" si="17"/>
        <v>225</v>
      </c>
      <c r="C488" s="47">
        <f t="shared" si="21"/>
        <v>0.39618778563918844</v>
      </c>
    </row>
    <row r="489" spans="1:3">
      <c r="A489" t="str">
        <f t="shared" si="16"/>
        <v>20,20</v>
      </c>
      <c r="B489">
        <f t="shared" si="17"/>
        <v>225</v>
      </c>
      <c r="C489" s="47">
        <f t="shared" si="21"/>
        <v>0.39314538380475617</v>
      </c>
    </row>
    <row r="490" spans="1:3">
      <c r="A490" t="str">
        <f t="shared" si="16"/>
        <v>20,20</v>
      </c>
      <c r="B490">
        <f t="shared" si="17"/>
        <v>225</v>
      </c>
      <c r="C490" s="47">
        <f t="shared" si="21"/>
        <v>0.39225601554105055</v>
      </c>
    </row>
    <row r="491" spans="1:3">
      <c r="A491" t="str">
        <f t="shared" si="16"/>
        <v>25,25</v>
      </c>
      <c r="B491">
        <f t="shared" si="17"/>
        <v>225</v>
      </c>
      <c r="C491" s="47"/>
    </row>
    <row r="492" spans="1:3">
      <c r="A492" t="str">
        <f t="shared" si="16"/>
        <v>25,25</v>
      </c>
      <c r="B492">
        <f t="shared" si="17"/>
        <v>225</v>
      </c>
      <c r="C492" s="47"/>
    </row>
    <row r="493" spans="1:3">
      <c r="A493" t="str">
        <f t="shared" si="16"/>
        <v>25,25</v>
      </c>
      <c r="B493">
        <f t="shared" si="17"/>
        <v>225</v>
      </c>
      <c r="C493" s="47"/>
    </row>
    <row r="494" spans="1:3">
      <c r="A494" t="str">
        <f t="shared" si="16"/>
        <v>30,30</v>
      </c>
      <c r="B494">
        <f t="shared" si="17"/>
        <v>225</v>
      </c>
      <c r="C494" s="47"/>
    </row>
    <row r="495" spans="1:3">
      <c r="A495" t="str">
        <f t="shared" si="16"/>
        <v>30,30</v>
      </c>
      <c r="B495">
        <f t="shared" si="17"/>
        <v>225</v>
      </c>
      <c r="C495" s="47"/>
    </row>
    <row r="496" spans="1:3">
      <c r="A496" t="str">
        <f t="shared" si="16"/>
        <v>30,30</v>
      </c>
      <c r="B496">
        <f t="shared" si="17"/>
        <v>225</v>
      </c>
      <c r="C496" s="47"/>
    </row>
    <row r="497" spans="1:3">
      <c r="A497" t="str">
        <f t="shared" si="16"/>
        <v>5,5</v>
      </c>
      <c r="B497">
        <f t="shared" si="17"/>
        <v>225</v>
      </c>
      <c r="C497" s="47">
        <f t="shared" si="21"/>
        <v>0.49797048453732784</v>
      </c>
    </row>
    <row r="498" spans="1:3">
      <c r="A498" t="str">
        <f t="shared" si="16"/>
        <v>5,5</v>
      </c>
      <c r="B498">
        <f t="shared" si="17"/>
        <v>225</v>
      </c>
      <c r="C498" s="47">
        <f t="shared" si="21"/>
        <v>0.49720217009144257</v>
      </c>
    </row>
    <row r="499" spans="1:3">
      <c r="A499" t="str">
        <f t="shared" si="16"/>
        <v>5,5</v>
      </c>
      <c r="B499">
        <f t="shared" si="17"/>
        <v>225</v>
      </c>
      <c r="C499" s="47">
        <f t="shared" si="21"/>
        <v>0.49692971725872837</v>
      </c>
    </row>
    <row r="500" spans="1:3">
      <c r="C500" s="47"/>
    </row>
    <row r="501" spans="1:3">
      <c r="A501" t="str">
        <f t="shared" si="16"/>
        <v>5,5</v>
      </c>
      <c r="B501">
        <f t="shared" si="17"/>
        <v>250</v>
      </c>
      <c r="C501" s="47">
        <f>F264</f>
        <v>0.4897243371074218</v>
      </c>
    </row>
    <row r="502" spans="1:3">
      <c r="A502" t="str">
        <f t="shared" si="16"/>
        <v>5,5</v>
      </c>
      <c r="B502">
        <f t="shared" si="17"/>
        <v>250</v>
      </c>
      <c r="C502" s="47">
        <f t="shared" ref="C502:C521" si="22">F265</f>
        <v>0.48793481855423321</v>
      </c>
    </row>
    <row r="503" spans="1:3">
      <c r="A503" t="str">
        <f t="shared" si="16"/>
        <v>5,5</v>
      </c>
      <c r="B503">
        <f t="shared" si="17"/>
        <v>250</v>
      </c>
      <c r="C503" s="47">
        <f t="shared" si="22"/>
        <v>0.4860820111851748</v>
      </c>
    </row>
    <row r="504" spans="1:3">
      <c r="A504" t="str">
        <f t="shared" si="16"/>
        <v>40,40</v>
      </c>
      <c r="B504">
        <f t="shared" si="17"/>
        <v>250</v>
      </c>
      <c r="C504" s="47"/>
    </row>
    <row r="505" spans="1:3">
      <c r="A505" t="str">
        <f t="shared" si="16"/>
        <v>40,40</v>
      </c>
      <c r="B505">
        <f t="shared" si="17"/>
        <v>250</v>
      </c>
      <c r="C505" s="47"/>
    </row>
    <row r="506" spans="1:3">
      <c r="A506" t="str">
        <f t="shared" si="16"/>
        <v>40,40</v>
      </c>
      <c r="B506">
        <f t="shared" si="17"/>
        <v>250</v>
      </c>
      <c r="C506" s="47"/>
    </row>
    <row r="507" spans="1:3">
      <c r="A507" t="str">
        <f t="shared" si="16"/>
        <v>30,30</v>
      </c>
      <c r="B507">
        <f t="shared" si="17"/>
        <v>250</v>
      </c>
      <c r="C507" s="47"/>
    </row>
    <row r="508" spans="1:3">
      <c r="A508" t="str">
        <f t="shared" si="16"/>
        <v>30,30</v>
      </c>
      <c r="B508">
        <f t="shared" si="17"/>
        <v>250</v>
      </c>
      <c r="C508" s="47"/>
    </row>
    <row r="509" spans="1:3">
      <c r="A509" t="str">
        <f t="shared" ref="A509:A521" si="23">A272</f>
        <v>30,30</v>
      </c>
      <c r="B509">
        <f t="shared" ref="B509:B521" si="24">B272</f>
        <v>250</v>
      </c>
      <c r="C509" s="47"/>
    </row>
    <row r="510" spans="1:3">
      <c r="A510" t="str">
        <f t="shared" si="23"/>
        <v>25,25</v>
      </c>
      <c r="B510">
        <f t="shared" si="24"/>
        <v>250</v>
      </c>
      <c r="C510" s="47"/>
    </row>
    <row r="511" spans="1:3">
      <c r="A511" t="str">
        <f t="shared" si="23"/>
        <v>25,25</v>
      </c>
      <c r="B511">
        <f t="shared" si="24"/>
        <v>250</v>
      </c>
      <c r="C511" s="47"/>
    </row>
    <row r="512" spans="1:3">
      <c r="A512" t="str">
        <f t="shared" si="23"/>
        <v>25,25</v>
      </c>
      <c r="B512">
        <f t="shared" si="24"/>
        <v>250</v>
      </c>
      <c r="C512" s="47"/>
    </row>
    <row r="513" spans="1:3">
      <c r="A513" t="str">
        <f t="shared" si="23"/>
        <v>20,20</v>
      </c>
      <c r="B513">
        <f t="shared" si="24"/>
        <v>250</v>
      </c>
      <c r="C513" s="47">
        <f t="shared" si="22"/>
        <v>0.40451471347545481</v>
      </c>
    </row>
    <row r="514" spans="1:3">
      <c r="A514" t="str">
        <f t="shared" si="23"/>
        <v>20,20</v>
      </c>
      <c r="B514">
        <f t="shared" si="24"/>
        <v>250</v>
      </c>
      <c r="C514" s="47">
        <f t="shared" si="22"/>
        <v>0.40242159286697254</v>
      </c>
    </row>
    <row r="515" spans="1:3">
      <c r="A515" t="str">
        <f t="shared" si="23"/>
        <v>20,20</v>
      </c>
      <c r="B515">
        <f t="shared" si="24"/>
        <v>250</v>
      </c>
      <c r="C515" s="47">
        <f t="shared" si="22"/>
        <v>0.40185506793565051</v>
      </c>
    </row>
    <row r="516" spans="1:3">
      <c r="A516" t="str">
        <f t="shared" si="23"/>
        <v>15,15</v>
      </c>
      <c r="B516">
        <f t="shared" si="24"/>
        <v>250</v>
      </c>
      <c r="C516" s="47">
        <f t="shared" si="22"/>
        <v>0.42994646316119056</v>
      </c>
    </row>
    <row r="517" spans="1:3">
      <c r="A517" t="str">
        <f t="shared" si="23"/>
        <v>15,15</v>
      </c>
      <c r="B517">
        <f t="shared" si="24"/>
        <v>250</v>
      </c>
      <c r="C517" s="47">
        <f t="shared" si="22"/>
        <v>0.42897539053758732</v>
      </c>
    </row>
    <row r="518" spans="1:3">
      <c r="A518" t="str">
        <f t="shared" si="23"/>
        <v>15,15</v>
      </c>
      <c r="B518">
        <f t="shared" si="24"/>
        <v>250</v>
      </c>
      <c r="C518" s="47">
        <f t="shared" si="22"/>
        <v>0.42804441902068108</v>
      </c>
    </row>
    <row r="519" spans="1:3">
      <c r="A519" t="str">
        <f t="shared" si="23"/>
        <v>10,10</v>
      </c>
      <c r="B519">
        <f t="shared" si="24"/>
        <v>250</v>
      </c>
      <c r="C519" s="47">
        <f t="shared" si="22"/>
        <v>0.45845647770350167</v>
      </c>
    </row>
    <row r="520" spans="1:3">
      <c r="A520" t="str">
        <f t="shared" si="23"/>
        <v>10,10</v>
      </c>
      <c r="B520">
        <f t="shared" si="24"/>
        <v>250</v>
      </c>
      <c r="C520" s="47">
        <f t="shared" si="22"/>
        <v>0.45735368956143235</v>
      </c>
    </row>
    <row r="521" spans="1:3">
      <c r="A521" t="str">
        <f t="shared" si="23"/>
        <v>10,10</v>
      </c>
      <c r="B521">
        <f t="shared" si="24"/>
        <v>250</v>
      </c>
      <c r="C521" s="47">
        <f t="shared" si="22"/>
        <v>0.45420316829652002</v>
      </c>
    </row>
    <row r="522" spans="1:3">
      <c r="C522" s="47"/>
    </row>
    <row r="523" spans="1:3">
      <c r="C523" s="47"/>
    </row>
  </sheetData>
  <sheetProtection sheet="1" objects="1" scenarios="1"/>
  <phoneticPr fontId="8"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dimension ref="B3:T23"/>
  <sheetViews>
    <sheetView workbookViewId="0">
      <selection activeCell="O17" sqref="O17:O23"/>
    </sheetView>
  </sheetViews>
  <sheetFormatPr defaultColWidth="8.85546875" defaultRowHeight="12.75"/>
  <cols>
    <col min="1" max="1" width="8.85546875" style="42"/>
    <col min="2" max="2" width="8.85546875" style="45"/>
    <col min="3" max="3" width="9" style="42" bestFit="1" customWidth="1"/>
    <col min="4" max="4" width="10.85546875" style="43" bestFit="1" customWidth="1"/>
    <col min="5" max="5" width="9.85546875" style="43" bestFit="1" customWidth="1"/>
    <col min="6" max="6" width="8.85546875" style="43"/>
    <col min="7" max="9" width="8.85546875" style="42"/>
    <col min="10" max="10" width="10" style="43" bestFit="1" customWidth="1"/>
    <col min="11" max="12" width="8.85546875" style="43"/>
    <col min="13" max="16384" width="8.85546875" style="42"/>
  </cols>
  <sheetData>
    <row r="3" spans="2:20" ht="15.75">
      <c r="B3" s="46" t="s">
        <v>82</v>
      </c>
    </row>
    <row r="5" spans="2:20">
      <c r="C5" s="42" t="s">
        <v>88</v>
      </c>
      <c r="D5" s="43" t="s">
        <v>89</v>
      </c>
      <c r="E5" s="43" t="s">
        <v>91</v>
      </c>
      <c r="F5" s="43" t="s">
        <v>93</v>
      </c>
      <c r="G5" s="42" t="s">
        <v>92</v>
      </c>
      <c r="H5" s="42" t="s">
        <v>28</v>
      </c>
      <c r="I5" s="42" t="s">
        <v>96</v>
      </c>
      <c r="J5" s="43" t="s">
        <v>98</v>
      </c>
      <c r="K5" s="43" t="s">
        <v>99</v>
      </c>
      <c r="L5" s="43" t="s">
        <v>100</v>
      </c>
      <c r="M5" s="42" t="s">
        <v>101</v>
      </c>
      <c r="N5" s="42" t="s">
        <v>24</v>
      </c>
      <c r="O5" s="42" t="s">
        <v>25</v>
      </c>
      <c r="P5" s="42" t="s">
        <v>102</v>
      </c>
      <c r="Q5" s="42" t="s">
        <v>103</v>
      </c>
      <c r="R5" s="42" t="s">
        <v>104</v>
      </c>
      <c r="S5" s="42" t="s">
        <v>26</v>
      </c>
      <c r="T5" s="42" t="s">
        <v>49</v>
      </c>
    </row>
    <row r="6" spans="2:20">
      <c r="C6" s="42" t="s">
        <v>29</v>
      </c>
      <c r="D6" s="43" t="s">
        <v>8</v>
      </c>
      <c r="E6" s="43" t="s">
        <v>5</v>
      </c>
      <c r="F6" s="43" t="s">
        <v>8</v>
      </c>
      <c r="G6" s="42" t="s">
        <v>94</v>
      </c>
      <c r="H6" s="42" t="s">
        <v>95</v>
      </c>
      <c r="I6" s="42" t="s">
        <v>97</v>
      </c>
      <c r="J6" s="43" t="s">
        <v>5</v>
      </c>
      <c r="K6" s="43" t="s">
        <v>5</v>
      </c>
      <c r="L6" s="43" t="s">
        <v>5</v>
      </c>
      <c r="M6" s="42" t="s">
        <v>36</v>
      </c>
      <c r="N6" s="42" t="s">
        <v>105</v>
      </c>
      <c r="O6" s="42" t="s">
        <v>106</v>
      </c>
      <c r="Q6" s="42" t="s">
        <v>105</v>
      </c>
      <c r="R6" s="42" t="s">
        <v>106</v>
      </c>
    </row>
    <row r="7" spans="2:20">
      <c r="B7" s="45" t="s">
        <v>87</v>
      </c>
      <c r="C7" s="42">
        <v>265</v>
      </c>
      <c r="D7" s="43">
        <v>22402000</v>
      </c>
      <c r="E7" s="43">
        <f>2.23*D7/1000</f>
        <v>49956.46</v>
      </c>
      <c r="F7" s="43">
        <v>300000</v>
      </c>
      <c r="G7" s="42">
        <f>F7/2500</f>
        <v>120</v>
      </c>
      <c r="H7" s="42">
        <f>1/( 2.866727E-19*C7^6 - 4.15989E-16*C7^5 + 0.0000000000003000713*C7^4 - 0.0000000001196363*C7^3 + 0.00000004123135*C7^2 - 0.00000236566*C7 + 0.01604886)</f>
        <v>58.389039488413481</v>
      </c>
      <c r="I7" s="43">
        <v>300000</v>
      </c>
      <c r="J7" s="42">
        <f>I7/2500</f>
        <v>120</v>
      </c>
      <c r="K7" s="43">
        <f>(100*144/60)*D7/(60*33000)*0.7457/0.7</f>
        <v>2892.670372294373</v>
      </c>
      <c r="L7" s="43">
        <f>E7+J7+K7</f>
        <v>52969.13037229437</v>
      </c>
      <c r="M7" s="42">
        <f>L7*1000/D7</f>
        <v>2.3644822057090606</v>
      </c>
      <c r="N7" s="44">
        <f xml:space="preserve"> 0.00000000025563678*C7^4 + 0.000000073480055*C7^3 - 0.000027703224*C7^2 + 0.9998551*C7 - 31.760088</f>
        <v>233.88417658531137</v>
      </c>
      <c r="O7" s="42">
        <f xml:space="preserve"> -2.054952E-18*C7^6 + 5.502578E-15*C7^5 - 0.000000000005823224*C7^4 + 0.000000004213932*C7^3 - 0.000002567228*C7^2 + 0.002191037*C7 - 0.0675014</f>
        <v>0.38902142600230727</v>
      </c>
      <c r="P7" s="42">
        <v>49</v>
      </c>
      <c r="Q7" s="42">
        <f>-31.76958886+0.997066497*P7+0.00001087*P7^2</f>
        <v>17.112768363000001</v>
      </c>
      <c r="R7" s="42">
        <f>-0.06787502848+0.002201824619*P7-0.000002665154152*P7^2+0.000000004390426*P7^3-0.000000000004355*P7^4</f>
        <v>3.4106766252166999E-2</v>
      </c>
      <c r="S7" s="42">
        <f>((N7-Q7)-(P7+460)*(O7-R7))/3.413</f>
        <v>10.583019750802807</v>
      </c>
      <c r="T7" s="42">
        <f>M7/S7</f>
        <v>0.22342226145138733</v>
      </c>
    </row>
    <row r="8" spans="2:20">
      <c r="C8" s="42">
        <v>265</v>
      </c>
      <c r="D8" s="43">
        <v>20482000</v>
      </c>
      <c r="E8" s="43">
        <f>2.44*D8/1000</f>
        <v>49976.08</v>
      </c>
      <c r="F8" s="43">
        <v>300000</v>
      </c>
      <c r="G8" s="42">
        <f>F8/2500</f>
        <v>120</v>
      </c>
      <c r="H8" s="42">
        <f>1/( 2.866727E-19*C8^6 - 4.15989E-16*C8^5 + 0.0000000000003000713*C8^4 - 0.0000000001196363*C8^3 + 0.00000004123135*C8^2 - 0.00000236566*C8 + 0.01604886)</f>
        <v>58.389039488413481</v>
      </c>
      <c r="I8" s="42">
        <f>G8*144/H8</f>
        <v>295.94595409347301</v>
      </c>
      <c r="J8" s="43">
        <f>((I8*D8/60)/33000)*0.7457/0.7</f>
        <v>3261.2619366308754</v>
      </c>
      <c r="K8" s="43">
        <f>(100*144/60)*D8/(60*33000)*0.7457/0.7</f>
        <v>2644.7493333333332</v>
      </c>
      <c r="L8" s="43">
        <f>E8+J8+K8</f>
        <v>55882.091269964214</v>
      </c>
      <c r="M8" s="42">
        <f>L8*1000/D8</f>
        <v>2.7283512972348505</v>
      </c>
      <c r="N8" s="44">
        <f xml:space="preserve"> 0.00000000025563678*C8^4 + 0.000000073480055*C8^3 - 0.000027703224*C8^2 + 0.9998551*C8 - 31.760088</f>
        <v>233.88417658531137</v>
      </c>
      <c r="O8" s="42">
        <f xml:space="preserve"> -2.054952E-18*C8^6 + 5.502578E-15*C8^5 - 0.000000000005823224*C8^4 + 0.000000004213932*C8^3 - 0.000002567228*C8^2 + 0.002191037*C8 - 0.0675014</f>
        <v>0.38902142600230727</v>
      </c>
      <c r="P8" s="42">
        <v>49</v>
      </c>
      <c r="Q8" s="42">
        <f>-31.76958886+0.997066497*P8+0.00001087*P8^2</f>
        <v>17.112768363000001</v>
      </c>
      <c r="R8" s="42">
        <f>-0.06787502848+0.002201824619*P8-0.000002665154152*P8^2+0.000000004390426*P8^3-0.000000000004355*P8^4</f>
        <v>3.4106766252166999E-2</v>
      </c>
      <c r="S8" s="42">
        <f>((N8-Q8)-(P8+460)*(O8-R8))/3.413</f>
        <v>10.583019750802807</v>
      </c>
      <c r="T8" s="42">
        <f>M8/S8</f>
        <v>0.25780461167786095</v>
      </c>
    </row>
    <row r="9" spans="2:20">
      <c r="B9" s="45" t="s">
        <v>107</v>
      </c>
      <c r="C9" s="42">
        <v>302</v>
      </c>
      <c r="D9" s="43">
        <v>12384000</v>
      </c>
      <c r="E9" s="43">
        <f>4.04*D9/1000</f>
        <v>50031.360000000001</v>
      </c>
      <c r="F9" s="43">
        <v>190000</v>
      </c>
      <c r="G9" s="42">
        <f>F9/2500</f>
        <v>76</v>
      </c>
      <c r="H9" s="42">
        <f>1/( 2.866727E-19*C9^6 - 4.15989E-16*C9^5 + 0.0000000000003000713*C9^4 - 0.0000000001196363*C9^3 + 0.00000004123135*C9^2 - 0.00000236566*C9 + 0.01604886)</f>
        <v>57.246859850506425</v>
      </c>
      <c r="I9" s="42">
        <f>G9*144/H9</f>
        <v>191.17205779634017</v>
      </c>
      <c r="J9" s="43">
        <f>((I9*D9/60)/33000)*0.7457/0.7</f>
        <v>1273.7560832094396</v>
      </c>
      <c r="K9" s="43">
        <f>(100*144/60)*D9/(60*33000)*0.7457/0.7</f>
        <v>1599.0907012987013</v>
      </c>
      <c r="L9" s="43">
        <f>E9+J9+K9</f>
        <v>52904.20678450814</v>
      </c>
      <c r="M9" s="42">
        <f>L9*1000/D9</f>
        <v>4.2719805220048563</v>
      </c>
      <c r="N9" s="44">
        <f xml:space="preserve"> 0.00000000025563678*C9^4 + 0.000000073480055*C9^3 - 0.000027703224*C9^2 + 0.9998551*C9 - 31.760088</f>
        <v>271.81984328517052</v>
      </c>
      <c r="O9" s="42">
        <f xml:space="preserve"> -2.054952E-18*C9^6 + 5.502578E-15*C9^5 - 0.000000000005823224*C9^4 + 0.000000004213932*C9^3 - 0.000002567228*C9^2 + 0.002191037*C9 - 0.0675014</f>
        <v>0.43994260354684339</v>
      </c>
      <c r="P9" s="42">
        <v>47</v>
      </c>
      <c r="Q9" s="42">
        <f>-31.76958886+0.997066497*P9+0.00001087*P9^2</f>
        <v>15.116548329000004</v>
      </c>
      <c r="R9" s="42">
        <f>-0.06787502848+0.002201824619*P9-0.000002665154152*P9^2+0.000000004390426*P9^3-0.000000000004355*P9^4</f>
        <v>3.0157979279074994E-2</v>
      </c>
      <c r="S9" s="42">
        <f>((N9-Q9)-(P9+460)*(O9-R9))/3.413</f>
        <v>14.340020642370915</v>
      </c>
      <c r="T9" s="42">
        <f>M9/S9</f>
        <v>0.29790616265797415</v>
      </c>
    </row>
    <row r="10" spans="2:20">
      <c r="B10" s="45" t="s">
        <v>108</v>
      </c>
      <c r="C10" s="42">
        <v>330</v>
      </c>
      <c r="D10" s="43">
        <v>8678000</v>
      </c>
      <c r="E10" s="43">
        <f>D10*5.76/1000</f>
        <v>49985.279999999999</v>
      </c>
      <c r="F10" s="43">
        <v>300000</v>
      </c>
      <c r="G10" s="42">
        <f t="shared" ref="G10:G13" si="0">F10/2500</f>
        <v>120</v>
      </c>
      <c r="H10">
        <f xml:space="preserve"> 1/(5.814452E-17*C10^6 - 0.0000000000001638967*C10^5 + 0.0000000001909938*C10^4 - 0.0000001175919*C10^3 + 0.00004032932*C10^2 - 0.007293145*C10 + 0.5598079)</f>
        <v>56.356827026683369</v>
      </c>
      <c r="I10" s="42">
        <f t="shared" ref="I10:I11" si="1">G10*144/H10</f>
        <v>306.61768789464332</v>
      </c>
      <c r="J10" s="43">
        <f t="shared" ref="J10:J11" si="2">((I10*D10/60)/33000)*0.7457/0.7</f>
        <v>1431.5870562708676</v>
      </c>
      <c r="K10" s="43">
        <f t="shared" ref="K10:K11" si="3">(100*144/60)*D10/(60*33000)*0.7457/0.7</f>
        <v>1120.5514458874461</v>
      </c>
      <c r="L10" s="43">
        <f t="shared" ref="L10:L11" si="4">E10+J10+K10</f>
        <v>52537.418502158311</v>
      </c>
      <c r="M10" s="42">
        <f t="shared" ref="M10:M11" si="5">L10*1000/D10</f>
        <v>6.0540929364091163</v>
      </c>
      <c r="N10" s="15">
        <f t="shared" ref="N10:N11" si="6" xml:space="preserve"> 5.8634263518E-11*C10^5 - 0.00000013378773724*C10^4 + 0.00012227602697*C10^3 - 0.055373746094*C10^2 + 13.426933583*C10 - 1137.0718729</f>
        <v>300.6994643245589</v>
      </c>
      <c r="O10">
        <f xml:space="preserve"> 3.168125E-16*C10^6 - 0.000000000000891254*C10^5 + 0.000000001036796*C10^4 - 0.0000006365638*C10^3 + 0.0002168133*C10^2 - 0.0374574*C10 + 2.886536</f>
        <v>0.47714622120660666</v>
      </c>
      <c r="P10" s="42">
        <v>51</v>
      </c>
      <c r="Q10" s="42">
        <f t="shared" ref="Q10:Q13" si="7">-31.76958886+0.997066497*P10+0.00001087*P10^2</f>
        <v>19.109075357000005</v>
      </c>
      <c r="R10" s="42">
        <f t="shared" ref="R10:R13" si="8">-0.06787502848+0.002201824619*P10-0.000002665154152*P10^2+0.000000004390426*P10^3-0.000000000004355*P10^4</f>
        <v>3.8038893088619005E-2</v>
      </c>
      <c r="S10" s="42">
        <f t="shared" ref="S10:S11" si="9">((N10-Q10)-(P10+460)*(O10-R10))/3.413</f>
        <v>16.761366627385652</v>
      </c>
      <c r="T10" s="42">
        <f t="shared" ref="T10:T11" si="10">M10/S10</f>
        <v>0.36119327683684233</v>
      </c>
    </row>
    <row r="11" spans="2:20">
      <c r="C11" s="42">
        <v>330</v>
      </c>
      <c r="D11" s="43">
        <v>8348000</v>
      </c>
      <c r="E11" s="43">
        <f>D11*5.99/1000</f>
        <v>50004.52</v>
      </c>
      <c r="F11" s="43">
        <v>300000</v>
      </c>
      <c r="G11" s="42">
        <f t="shared" si="0"/>
        <v>120</v>
      </c>
      <c r="H11">
        <f t="shared" ref="H11:H13" si="11" xml:space="preserve"> 1/(5.814452E-17*C11^6 - 0.0000000000001638967*C11^5 + 0.0000000001909938*C11^4 - 0.0000001175919*C11^3 + 0.00004032932*C11^2 - 0.007293145*C11 + 0.5598079)</f>
        <v>56.356827026683369</v>
      </c>
      <c r="I11" s="42">
        <f t="shared" si="1"/>
        <v>306.61768789464332</v>
      </c>
      <c r="J11" s="43">
        <f t="shared" si="2"/>
        <v>1377.147815827288</v>
      </c>
      <c r="K11" s="43">
        <f t="shared" si="3"/>
        <v>1077.9400173160175</v>
      </c>
      <c r="L11" s="43">
        <f t="shared" si="4"/>
        <v>52459.607833143302</v>
      </c>
      <c r="M11" s="42">
        <f t="shared" si="5"/>
        <v>6.2840929364091158</v>
      </c>
      <c r="N11" s="15">
        <f t="shared" si="6"/>
        <v>300.6994643245589</v>
      </c>
      <c r="O11">
        <f t="shared" ref="O11:O13" si="12" xml:space="preserve"> 3.168125E-16*C11^6 - 0.000000000000891254*C11^5 + 0.000000001036796*C11^4 - 0.0000006365638*C11^3 + 0.0002168133*C11^2 - 0.0374574*C11 + 2.886536</f>
        <v>0.47714622120660666</v>
      </c>
      <c r="P11" s="42">
        <v>51</v>
      </c>
      <c r="Q11" s="42">
        <f t="shared" si="7"/>
        <v>19.109075357000005</v>
      </c>
      <c r="R11" s="42">
        <f t="shared" si="8"/>
        <v>3.8038893088619005E-2</v>
      </c>
      <c r="S11" s="42">
        <f t="shared" si="9"/>
        <v>16.761366627385652</v>
      </c>
      <c r="T11" s="42">
        <f t="shared" si="10"/>
        <v>0.37491530828648634</v>
      </c>
    </row>
    <row r="12" spans="2:20">
      <c r="B12" s="45" t="s">
        <v>109</v>
      </c>
      <c r="C12" s="42">
        <v>375</v>
      </c>
      <c r="D12" s="43">
        <v>6800000</v>
      </c>
      <c r="E12" s="43">
        <f>7.35*D12/1000</f>
        <v>49980</v>
      </c>
      <c r="F12" s="43">
        <v>500000</v>
      </c>
      <c r="G12" s="42">
        <f t="shared" si="0"/>
        <v>200</v>
      </c>
      <c r="H12">
        <f t="shared" si="11"/>
        <v>54.629125502725266</v>
      </c>
      <c r="I12" s="42">
        <f t="shared" ref="I12:I13" si="13">G12*144/H12</f>
        <v>527.19130564451859</v>
      </c>
      <c r="J12" s="43">
        <f t="shared" ref="J12:J13" si="14">((I12*D12/60)/33000)*0.7457/0.7</f>
        <v>1928.7594408441557</v>
      </c>
      <c r="K12" s="43">
        <f t="shared" ref="K12:K13" si="15">(100*144/60)*D12/(60*33000)*0.7457/0.7</f>
        <v>878.05367965367964</v>
      </c>
      <c r="L12" s="43">
        <f t="shared" ref="L12:L13" si="16">E12+J12+K12</f>
        <v>52786.813120497834</v>
      </c>
      <c r="M12" s="42">
        <f t="shared" ref="M12:M13" si="17">L12*1000/D12</f>
        <v>7.7627666353673295</v>
      </c>
      <c r="N12" s="15">
        <f xml:space="preserve"> 5.8634263518E-11*C12^5 - 0.00000013378773724*C12^4 + 0.00012227602697*C12^3 - 0.055373746094*C12^2 + 13.426933583*C12 - 1137.0718729</f>
        <v>348.35857065059918</v>
      </c>
      <c r="O12">
        <f t="shared" si="12"/>
        <v>0.53532548554992454</v>
      </c>
      <c r="P12" s="42">
        <v>50</v>
      </c>
      <c r="Q12" s="42">
        <f t="shared" si="7"/>
        <v>18.110910990000001</v>
      </c>
      <c r="R12" s="42">
        <f t="shared" si="8"/>
        <v>3.6074901589999993E-2</v>
      </c>
      <c r="S12" s="42">
        <f t="shared" ref="S12:S13" si="18">((N12-Q12)-(P12+460)*(O12-R12))/3.413</f>
        <v>22.159350085273271</v>
      </c>
      <c r="T12" s="42">
        <f t="shared" ref="T12:T13" si="19">M12/S12</f>
        <v>0.35031562773703967</v>
      </c>
    </row>
    <row r="13" spans="2:20">
      <c r="C13" s="42">
        <v>375</v>
      </c>
      <c r="D13" s="43">
        <v>5889000</v>
      </c>
      <c r="E13" s="43">
        <f>8.49*D13/1000</f>
        <v>49997.61</v>
      </c>
      <c r="F13" s="43">
        <v>500000</v>
      </c>
      <c r="G13" s="42">
        <f t="shared" si="0"/>
        <v>200</v>
      </c>
      <c r="H13">
        <f t="shared" si="11"/>
        <v>54.629125502725266</v>
      </c>
      <c r="I13" s="42">
        <f t="shared" si="13"/>
        <v>527.19130564451859</v>
      </c>
      <c r="J13" s="43">
        <f t="shared" si="14"/>
        <v>1670.3624039898868</v>
      </c>
      <c r="K13" s="43">
        <f t="shared" si="15"/>
        <v>760.42031168831181</v>
      </c>
      <c r="L13" s="43">
        <f t="shared" si="16"/>
        <v>52428.392715678201</v>
      </c>
      <c r="M13" s="42">
        <f t="shared" si="17"/>
        <v>8.9027666353673283</v>
      </c>
      <c r="N13" s="15">
        <f xml:space="preserve"> 5.8634263518E-11*C13^5 - 0.00000013378773724*C13^4 + 0.00012227602697*C13^3 - 0.055373746094*C13^2 + 13.426933583*C13 - 1137.0718729</f>
        <v>348.35857065059918</v>
      </c>
      <c r="O13">
        <f t="shared" si="12"/>
        <v>0.53532548554992454</v>
      </c>
      <c r="P13" s="42">
        <v>50</v>
      </c>
      <c r="Q13" s="42">
        <f t="shared" si="7"/>
        <v>18.110910990000001</v>
      </c>
      <c r="R13" s="42">
        <f t="shared" si="8"/>
        <v>3.6074901589999993E-2</v>
      </c>
      <c r="S13" s="42">
        <f t="shared" si="18"/>
        <v>22.159350085273271</v>
      </c>
      <c r="T13" s="42">
        <f t="shared" si="19"/>
        <v>0.40176117986799426</v>
      </c>
    </row>
    <row r="15" spans="2:20">
      <c r="B15" s="45" t="s">
        <v>87</v>
      </c>
      <c r="C15" s="42">
        <v>265</v>
      </c>
      <c r="D15" s="43">
        <v>37903000</v>
      </c>
      <c r="E15" s="43">
        <v>49921</v>
      </c>
      <c r="F15" s="43">
        <v>300000</v>
      </c>
      <c r="G15" s="42">
        <f>F15/2500</f>
        <v>120</v>
      </c>
      <c r="H15" s="42">
        <f>1/( 2.866727E-19*C15^6 - 4.15989E-16*C15^5 + 0.0000000000003000713*C15^4 - 0.0000000001196363*C15^3 + 0.00000004123135*C15^2 - 0.00000236566*C15 + 0.01604886)</f>
        <v>58.389039488413481</v>
      </c>
      <c r="I15" s="43">
        <v>300000</v>
      </c>
      <c r="J15" s="42">
        <f>I15/2500</f>
        <v>120</v>
      </c>
      <c r="K15" s="43">
        <f>(100*144/60)*D15/(60*33000)*0.7457/0.7</f>
        <v>4894.2453852813851</v>
      </c>
      <c r="L15" s="43">
        <f>E15+J15+K15</f>
        <v>54935.245385281385</v>
      </c>
      <c r="M15" s="42">
        <f>L15*1000/D15</f>
        <v>1.4493640446740728</v>
      </c>
      <c r="N15" s="44">
        <f xml:space="preserve"> 0.00000000025563678*C15^4 + 0.000000073480055*C15^3 - 0.000027703224*C15^2 + 0.9998551*C15 - 31.760088</f>
        <v>233.88417658531137</v>
      </c>
      <c r="O15" s="42">
        <f xml:space="preserve"> -2.054952E-18*C15^6 + 5.502578E-15*C15^5 - 0.000000000005823224*C15^4 + 0.000000004213932*C15^3 - 0.000002567228*C15^2 + 0.002191037*C15 - 0.0675014</f>
        <v>0.38902142600230727</v>
      </c>
      <c r="P15" s="42">
        <v>39</v>
      </c>
      <c r="Q15" s="42">
        <f>-31.76958886+0.997066497*P15+0.00001087*P15^2</f>
        <v>7.1325377930000009</v>
      </c>
      <c r="R15" s="42">
        <f>-0.06787502848+0.002201824619*P15-0.000002665154152*P15^2+0.000000004390426*P15^3-0.000000000004355*P15^4</f>
        <v>1.4192792840146989E-2</v>
      </c>
      <c r="S15" s="42">
        <f>((N15-Q15)-(P15+460)*(O15-R15))/3.413</f>
        <v>11.63555547740796</v>
      </c>
      <c r="T15" s="42">
        <f>M15/S15</f>
        <v>0.12456337366000389</v>
      </c>
    </row>
    <row r="16" spans="2:20">
      <c r="B16" s="45" t="s">
        <v>107</v>
      </c>
      <c r="C16" s="42">
        <v>302</v>
      </c>
      <c r="D16" s="43">
        <v>15392000</v>
      </c>
      <c r="E16" s="43">
        <v>47023</v>
      </c>
      <c r="F16" s="43">
        <v>190000</v>
      </c>
      <c r="G16" s="42">
        <f>F16/2500</f>
        <v>76</v>
      </c>
      <c r="H16" s="42">
        <f>1/( 2.866727E-19*C16^6 - 4.15989E-16*C16^5 + 0.0000000000003000713*C16^4 - 0.0000000001196363*C16^3 + 0.00000004123135*C16^2 - 0.00000236566*C16 + 0.01604886)</f>
        <v>57.246859850506425</v>
      </c>
      <c r="I16" s="42">
        <f>G16*144/H16</f>
        <v>191.17205779634017</v>
      </c>
      <c r="J16" s="43">
        <f>((I16*D16/60)/33000)*0.7457/0.7</f>
        <v>1583.1438656944197</v>
      </c>
      <c r="K16" s="43">
        <f>(100*144/60)*D16/(60*33000)*0.7457/0.7</f>
        <v>1987.5003290043292</v>
      </c>
      <c r="L16" s="43">
        <f>E16+J16+K16</f>
        <v>50593.644194698754</v>
      </c>
      <c r="M16" s="42">
        <f>L16*1000/D16</f>
        <v>3.2870091082834429</v>
      </c>
      <c r="N16" s="44">
        <f xml:space="preserve"> 0.00000000025563678*C16^4 + 0.000000073480055*C16^3 - 0.000027703224*C16^2 + 0.9998551*C16 - 31.760088</f>
        <v>271.81984328517052</v>
      </c>
      <c r="O16" s="42">
        <f xml:space="preserve"> -2.054952E-18*C16^6 + 5.502578E-15*C16^5 - 0.000000000005823224*C16^4 + 0.000000004213932*C16^3 - 0.000002567228*C16^2 + 0.002191037*C16 - 0.0675014</f>
        <v>0.43994260354684339</v>
      </c>
      <c r="P16" s="42">
        <v>38</v>
      </c>
      <c r="Q16" s="42">
        <f>-31.76958886+0.997066497*P16+0.00001087*P16^2</f>
        <v>6.1346343060000024</v>
      </c>
      <c r="R16" s="42">
        <f>-0.06787502848+0.002201824619*P16-0.000002665154152*P16^2+0.000000004390426*P16^3-0.000000000004355*P16^4</f>
        <v>1.2177655134703995E-2</v>
      </c>
      <c r="S16" s="42">
        <f>((N16-Q16)-(P16+460)*(O16-R16))/3.413</f>
        <v>15.42873268969384</v>
      </c>
      <c r="T16" s="42">
        <f>M16/S16</f>
        <v>0.21304465988182655</v>
      </c>
    </row>
    <row r="17" spans="2:20">
      <c r="B17" s="45" t="s">
        <v>108</v>
      </c>
      <c r="C17" s="42">
        <v>330</v>
      </c>
      <c r="D17" s="43">
        <v>10375000</v>
      </c>
      <c r="E17" s="43">
        <v>48159</v>
      </c>
      <c r="F17" s="43">
        <v>300000</v>
      </c>
      <c r="G17" s="42">
        <f t="shared" ref="G17:G18" si="20">F17/2500</f>
        <v>120</v>
      </c>
      <c r="H17">
        <f t="shared" ref="H17:H23" si="21" xml:space="preserve"> 1/(5.814452E-17*C17^6 - 0.0000000000001638967*C17^5 + 0.0000000001909938*C17^4 - 0.0000001175919*C17^3 + 0.00004032932*C17^2 - 0.007293145*C17 + 0.5598079)</f>
        <v>56.356827026683369</v>
      </c>
      <c r="I17" s="42">
        <f t="shared" ref="I17:I18" si="22">G17*144/H17</f>
        <v>306.61768789464332</v>
      </c>
      <c r="J17" s="43">
        <f t="shared" ref="J17:J18" si="23">((I17*D17/60)/33000)*0.7457/0.7</f>
        <v>1711.5367260670951</v>
      </c>
      <c r="K17" s="43">
        <f t="shared" ref="K17:K18" si="24">(100*144/60)*D17/(60*33000)*0.7457/0.7</f>
        <v>1339.6774891774892</v>
      </c>
      <c r="L17" s="43">
        <f t="shared" ref="L17:L18" si="25">E17+J17+K17</f>
        <v>51210.214215244589</v>
      </c>
      <c r="M17" s="42">
        <f t="shared" ref="M17:M18" si="26">L17*1000/D17</f>
        <v>4.9359242617103218</v>
      </c>
      <c r="N17" s="15">
        <f t="shared" ref="N17:N23" si="27" xml:space="preserve"> 5.8634263518E-11*C17^5 - 0.00000013378773724*C17^4 + 0.00012227602697*C17^3 - 0.055373746094*C17^2 + 13.426933583*C17 - 1137.0718729</f>
        <v>300.6994643245589</v>
      </c>
      <c r="O17">
        <f t="shared" ref="O17:O23" si="28" xml:space="preserve"> 3.168125E-16*C17^6 - 0.000000000000891254*C17^5 + 0.000000001036796*C17^4 - 0.0000006365638*C17^3 + 0.0002168133*C17^2 - 0.0374574*C17 + 2.886536</f>
        <v>0.47714622120660666</v>
      </c>
      <c r="P17" s="42">
        <v>41</v>
      </c>
      <c r="Q17" s="42">
        <f t="shared" ref="Q17:Q23" si="29">-31.76958886+0.997066497*P17+0.00001087*P17^2</f>
        <v>9.1284099870000048</v>
      </c>
      <c r="R17" s="42">
        <f t="shared" ref="R17:R18" si="30">-0.06787502848+0.002201824619*P17-0.000002665154152*P17^2+0.000000004390426*P17^3-0.000000000004355*P17^4</f>
        <v>1.8209943130678991E-2</v>
      </c>
      <c r="S17" s="42">
        <f t="shared" ref="S17:S18" si="31">((N17-Q17)-(P17+460)*(O17-R17))/3.413</f>
        <v>18.061523299595411</v>
      </c>
      <c r="T17" s="42">
        <f t="shared" ref="T17:T18" si="32">M17/S17</f>
        <v>0.27328394066412381</v>
      </c>
    </row>
    <row r="18" spans="2:20">
      <c r="B18" s="45" t="s">
        <v>109</v>
      </c>
      <c r="C18" s="42">
        <v>375</v>
      </c>
      <c r="D18" s="43">
        <v>7473000</v>
      </c>
      <c r="E18" s="43">
        <v>49998</v>
      </c>
      <c r="F18" s="43">
        <v>500000</v>
      </c>
      <c r="G18" s="42">
        <f t="shared" si="20"/>
        <v>200</v>
      </c>
      <c r="H18">
        <f t="shared" si="21"/>
        <v>54.629125502725266</v>
      </c>
      <c r="I18" s="42">
        <f t="shared" si="22"/>
        <v>527.19130564451859</v>
      </c>
      <c r="J18" s="43">
        <f t="shared" si="23"/>
        <v>2119.6498972688787</v>
      </c>
      <c r="K18" s="43">
        <f t="shared" si="24"/>
        <v>964.95516883116898</v>
      </c>
      <c r="L18" s="43">
        <f t="shared" si="25"/>
        <v>53082.605066100048</v>
      </c>
      <c r="M18" s="42">
        <f t="shared" si="26"/>
        <v>7.1032523840626318</v>
      </c>
      <c r="N18" s="15">
        <f t="shared" si="27"/>
        <v>348.35857065059918</v>
      </c>
      <c r="O18">
        <f t="shared" si="28"/>
        <v>0.53532548554992454</v>
      </c>
      <c r="P18" s="42">
        <v>39</v>
      </c>
      <c r="Q18" s="42">
        <f t="shared" si="29"/>
        <v>7.1325377930000009</v>
      </c>
      <c r="R18" s="42">
        <f t="shared" si="30"/>
        <v>1.4192792840146989E-2</v>
      </c>
      <c r="S18" s="42">
        <f t="shared" si="31"/>
        <v>23.785765952364535</v>
      </c>
      <c r="T18" s="42">
        <f t="shared" si="32"/>
        <v>0.29863458668046383</v>
      </c>
    </row>
    <row r="19" spans="2:20">
      <c r="B19" s="45" t="s">
        <v>110</v>
      </c>
      <c r="C19" s="42">
        <v>525</v>
      </c>
      <c r="D19" s="43">
        <v>3200000</v>
      </c>
      <c r="E19" s="43">
        <v>51995</v>
      </c>
      <c r="F19" s="43">
        <v>400000</v>
      </c>
      <c r="H19">
        <f t="shared" si="21"/>
        <v>47.48380378114674</v>
      </c>
      <c r="I19" s="42">
        <f t="shared" ref="I19:I23" si="33">G19*144/H19</f>
        <v>0</v>
      </c>
      <c r="J19" s="43">
        <f t="shared" ref="J19:J23" si="34">((I19*D19/60)/33000)*0.7457/0.7</f>
        <v>0</v>
      </c>
      <c r="K19" s="43">
        <f t="shared" ref="K19:K23" si="35">(100*144/60)*D19/(60*33000)*0.7457/0.7</f>
        <v>413.20173160173164</v>
      </c>
      <c r="L19" s="43">
        <f t="shared" ref="L19:L23" si="36">E19+J19+K19</f>
        <v>52408.20173160173</v>
      </c>
      <c r="M19" s="42">
        <f t="shared" ref="M19:M23" si="37">L19*1000/D19</f>
        <v>16.377563041125541</v>
      </c>
      <c r="N19" s="15">
        <f t="shared" si="27"/>
        <v>518.22045246060679</v>
      </c>
      <c r="O19">
        <f t="shared" si="28"/>
        <v>0.71943673182433132</v>
      </c>
      <c r="P19" s="42">
        <v>49</v>
      </c>
      <c r="Q19" s="42">
        <f t="shared" si="29"/>
        <v>17.112768363000001</v>
      </c>
      <c r="R19" s="42">
        <f t="shared" ref="R19:R23" si="38">-0.06787502848+0.002201824619*P19-0.000002665154152*P19^2+0.000000004390426*P19^3-0.000000000004355*P19^4</f>
        <v>3.4106766252166999E-2</v>
      </c>
      <c r="S19" s="42">
        <f t="shared" ref="S19:S22" si="39">((N19-Q19)-(P19+460)*(O19-R19))/3.413</f>
        <v>44.616094820209547</v>
      </c>
      <c r="T19" s="42">
        <f t="shared" ref="T19:T23" si="40">M19/S19</f>
        <v>0.36707746626240068</v>
      </c>
    </row>
    <row r="20" spans="2:20">
      <c r="B20" s="45" t="s">
        <v>111</v>
      </c>
      <c r="C20" s="42">
        <v>425</v>
      </c>
      <c r="D20" s="43">
        <v>4500000</v>
      </c>
      <c r="E20" s="43">
        <v>47946</v>
      </c>
      <c r="F20" s="43">
        <v>500000</v>
      </c>
      <c r="H20">
        <f t="shared" si="21"/>
        <v>52.569761196327761</v>
      </c>
      <c r="I20" s="42">
        <f t="shared" si="33"/>
        <v>0</v>
      </c>
      <c r="J20" s="43">
        <f t="shared" si="34"/>
        <v>0</v>
      </c>
      <c r="K20" s="43">
        <f t="shared" si="35"/>
        <v>581.06493506493518</v>
      </c>
      <c r="L20" s="43">
        <f t="shared" si="36"/>
        <v>48527.064935064933</v>
      </c>
      <c r="M20" s="42">
        <f t="shared" si="37"/>
        <v>10.783792207792208</v>
      </c>
      <c r="N20" s="15">
        <f t="shared" si="27"/>
        <v>402.22090052097155</v>
      </c>
      <c r="O20">
        <f t="shared" si="28"/>
        <v>0.59772191008116637</v>
      </c>
      <c r="P20" s="42">
        <v>39</v>
      </c>
      <c r="Q20" s="42">
        <f t="shared" si="29"/>
        <v>7.1325377930000009</v>
      </c>
      <c r="R20" s="42">
        <f t="shared" si="38"/>
        <v>1.4192792840146989E-2</v>
      </c>
      <c r="S20" s="42">
        <f t="shared" si="39"/>
        <v>30.444574633666242</v>
      </c>
      <c r="T20" s="42">
        <f t="shared" si="40"/>
        <v>0.35421063810388298</v>
      </c>
    </row>
    <row r="21" spans="2:20">
      <c r="B21" s="45" t="s">
        <v>112</v>
      </c>
      <c r="C21" s="42">
        <v>450</v>
      </c>
      <c r="D21" s="43">
        <v>4000000</v>
      </c>
      <c r="E21" s="43">
        <v>47902</v>
      </c>
      <c r="F21" s="43">
        <v>1000000</v>
      </c>
      <c r="H21">
        <f t="shared" si="21"/>
        <v>51.490745281145145</v>
      </c>
      <c r="I21" s="42">
        <f t="shared" si="33"/>
        <v>0</v>
      </c>
      <c r="J21" s="43">
        <f t="shared" si="34"/>
        <v>0</v>
      </c>
      <c r="K21" s="43">
        <f t="shared" si="35"/>
        <v>516.50216450216453</v>
      </c>
      <c r="L21" s="43">
        <f t="shared" si="36"/>
        <v>48418.502164502162</v>
      </c>
      <c r="M21" s="42">
        <f t="shared" si="37"/>
        <v>12.104625541125539</v>
      </c>
      <c r="N21" s="15">
        <f t="shared" si="27"/>
        <v>430.10128363174681</v>
      </c>
      <c r="O21">
        <f t="shared" si="28"/>
        <v>0.62823274519530914</v>
      </c>
      <c r="P21" s="42">
        <v>39</v>
      </c>
      <c r="Q21" s="42">
        <f t="shared" si="29"/>
        <v>7.1325377930000009</v>
      </c>
      <c r="R21" s="42">
        <f t="shared" si="38"/>
        <v>1.4192792840146989E-2</v>
      </c>
      <c r="S21" s="42">
        <f t="shared" si="39"/>
        <v>34.152595843399041</v>
      </c>
      <c r="T21" s="42">
        <f t="shared" si="40"/>
        <v>0.35442768674537228</v>
      </c>
    </row>
    <row r="22" spans="2:20">
      <c r="B22" s="45" t="s">
        <v>113</v>
      </c>
      <c r="C22" s="42">
        <v>510</v>
      </c>
      <c r="D22" s="43">
        <v>3000000</v>
      </c>
      <c r="E22" s="43">
        <v>51339</v>
      </c>
      <c r="F22" s="43">
        <v>300000</v>
      </c>
      <c r="H22">
        <f t="shared" si="21"/>
        <v>48.381341614236192</v>
      </c>
      <c r="I22" s="42">
        <f t="shared" si="33"/>
        <v>0</v>
      </c>
      <c r="J22" s="43">
        <f t="shared" si="34"/>
        <v>0</v>
      </c>
      <c r="K22" s="43">
        <f t="shared" si="35"/>
        <v>387.37662337662346</v>
      </c>
      <c r="L22" s="43">
        <f t="shared" si="36"/>
        <v>51726.376623376622</v>
      </c>
      <c r="M22" s="42">
        <f t="shared" si="37"/>
        <v>17.242125541125542</v>
      </c>
      <c r="N22" s="15">
        <f t="shared" si="27"/>
        <v>500.01096009002958</v>
      </c>
      <c r="O22">
        <f t="shared" si="28"/>
        <v>0.70112047963890634</v>
      </c>
      <c r="P22" s="42">
        <v>46</v>
      </c>
      <c r="Q22" s="42">
        <f t="shared" si="29"/>
        <v>14.118470922000006</v>
      </c>
      <c r="R22" s="42">
        <f t="shared" si="38"/>
        <v>2.8177284992624001E-2</v>
      </c>
      <c r="S22" s="42">
        <f t="shared" si="39"/>
        <v>42.596903802229903</v>
      </c>
      <c r="T22" s="42">
        <f t="shared" si="40"/>
        <v>0.40477415028044678</v>
      </c>
    </row>
    <row r="23" spans="2:20">
      <c r="B23" s="45" t="s">
        <v>114</v>
      </c>
      <c r="C23" s="42">
        <v>570</v>
      </c>
      <c r="D23" s="43">
        <v>2600000</v>
      </c>
      <c r="E23" s="43">
        <v>47883</v>
      </c>
      <c r="F23" s="43">
        <v>1300000</v>
      </c>
      <c r="H23">
        <f t="shared" si="21"/>
        <v>44.566802332384874</v>
      </c>
      <c r="I23" s="42">
        <f t="shared" si="33"/>
        <v>0</v>
      </c>
      <c r="J23" s="43">
        <f t="shared" si="34"/>
        <v>0</v>
      </c>
      <c r="K23" s="43">
        <f t="shared" si="35"/>
        <v>335.72640692640692</v>
      </c>
      <c r="L23" s="43">
        <f t="shared" si="36"/>
        <v>48218.726406926406</v>
      </c>
      <c r="M23" s="42">
        <f t="shared" si="37"/>
        <v>18.545664002664004</v>
      </c>
      <c r="N23" s="15">
        <f t="shared" si="27"/>
        <v>575.35660787539109</v>
      </c>
      <c r="O23">
        <f t="shared" si="28"/>
        <v>0.77499342168601304</v>
      </c>
      <c r="P23" s="42">
        <v>56</v>
      </c>
      <c r="Q23" s="42">
        <f t="shared" si="29"/>
        <v>24.100223291999999</v>
      </c>
      <c r="R23" s="42">
        <f t="shared" si="38"/>
        <v>4.7797426585663993E-2</v>
      </c>
      <c r="S23" s="42">
        <f>((N23-Q23)-(P23+460)*(O23-R23))/3.413</f>
        <v>51.574348406566365</v>
      </c>
      <c r="T23" s="42">
        <f t="shared" si="40"/>
        <v>0.35959085428411924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Me-Help</vt:lpstr>
      <vt:lpstr>Estimator</vt:lpstr>
      <vt:lpstr>calculations</vt:lpstr>
      <vt:lpstr>WinSteam</vt:lpstr>
      <vt:lpstr>Property fit</vt:lpstr>
      <vt:lpstr>plant performance</vt:lpstr>
      <vt:lpstr>EPRI summary</vt:lpstr>
    </vt:vector>
  </TitlesOfParts>
  <Company>INL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Mine</dc:creator>
  <cp:lastModifiedBy>glenda.garcia</cp:lastModifiedBy>
  <dcterms:created xsi:type="dcterms:W3CDTF">2012-02-12T17:58:07Z</dcterms:created>
  <dcterms:modified xsi:type="dcterms:W3CDTF">2012-02-14T21:11:00Z</dcterms:modified>
</cp:coreProperties>
</file>